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dbm/Pictures/ReeveStuff/"/>
    </mc:Choice>
  </mc:AlternateContent>
  <xr:revisionPtr revIDLastSave="0" documentId="13_ncr:1_{A00AC199-BC1E-D24D-B940-FA82844FF3E9}" xr6:coauthVersionLast="43" xr6:coauthVersionMax="43" xr10:uidLastSave="{00000000-0000-0000-0000-000000000000}"/>
  <bookViews>
    <workbookView xWindow="0" yWindow="0" windowWidth="51200" windowHeight="28800" xr2:uid="{00000000-000D-0000-FFFF-FFFF00000000}"/>
  </bookViews>
  <sheets>
    <sheet name="All" sheetId="1" r:id="rId1"/>
    <sheet name="no exif" sheetId="2" r:id="rId2"/>
    <sheet name="MF" sheetId="3" r:id="rId3"/>
    <sheet name="AF" sheetId="4" r:id="rId4"/>
    <sheet name="Macro" sheetId="5" r:id="rId5"/>
    <sheet name="fast" sheetId="6" r:id="rId6"/>
    <sheet name="affordable" sheetId="7" r:id="rId7"/>
    <sheet name="Sony" sheetId="8" r:id="rId8"/>
    <sheet name="Sheet13" sheetId="9" state="hidden" r:id="rId9"/>
    <sheet name="Voigtlander" sheetId="10" r:id="rId10"/>
    <sheet name="Zeiss" sheetId="11" r:id="rId11"/>
    <sheet name="Sigma" sheetId="12" r:id="rId12"/>
    <sheet name="Beta" sheetId="13" state="hidden" r:id="rId13"/>
    <sheet name="Comparometer" sheetId="14" r:id="rId14"/>
    <sheet name="Kitbuilder" sheetId="15" state="hidden" r:id="rId15"/>
    <sheet name="APS-C" sheetId="16" state="hidden" r:id="rId16"/>
    <sheet name="Olympus OM" sheetId="17" state="hidden" r:id="rId17"/>
  </sheets>
  <definedNames>
    <definedName name="_xlnm._FilterDatabase" localSheetId="3" hidden="1">AF!$G$1:$G$1063</definedName>
    <definedName name="_xlnm._FilterDatabase" localSheetId="6" hidden="1">affordable!$J$1:$J$1063</definedName>
    <definedName name="_xlnm._FilterDatabase" localSheetId="15" hidden="1">'APS-C'!$O$1:$O$1064</definedName>
    <definedName name="_xlnm._FilterDatabase" localSheetId="12" hidden="1">Beta!$X$3:$X$1076</definedName>
    <definedName name="_xlnm._FilterDatabase" localSheetId="13" hidden="1">Comparometer!$X$3:$X$1076</definedName>
    <definedName name="_xlnm._FilterDatabase" localSheetId="5" hidden="1">fast!$A$1:$U$81</definedName>
    <definedName name="_xlnm._FilterDatabase" localSheetId="14" hidden="1">Kitbuilder!$W$1:$W$1066</definedName>
    <definedName name="_xlnm._FilterDatabase" localSheetId="4" hidden="1">Macro!$A$1:$U$153</definedName>
    <definedName name="_xlnm._FilterDatabase" localSheetId="2" hidden="1">MF!$G$1:$G$1132</definedName>
    <definedName name="_xlnm._FilterDatabase" localSheetId="16" hidden="1">'Olympus OM'!$L$1:$L$970</definedName>
    <definedName name="_xlnm._FilterDatabase" localSheetId="11" hidden="1">Sigma!$A$1:$U$298</definedName>
    <definedName name="_xlnm._FilterDatabase" localSheetId="7" hidden="1">Sony!$A$1:$U$130</definedName>
    <definedName name="_xlnm._FilterDatabase" localSheetId="9" hidden="1">Voigtlander!$A$1:$U$151</definedName>
    <definedName name="_xlnm._FilterDatabase" localSheetId="10" hidden="1">Zeiss!$A$1:$U$151</definedName>
    <definedName name="Z_690C070F_8107_459A_B949_BA7C433CC32D_.wvu.FilterData" localSheetId="0" hidden="1">All!$A$1:$M$36</definedName>
    <definedName name="Z_690C070F_8107_459A_B949_BA7C433CC32D_.wvu.FilterData" localSheetId="16" hidden="1">'Olympus OM'!$A$1:$O$2</definedName>
    <definedName name="Z_CF4F7ABF_A8C6_44E6_B8E3_1DEF3E38054C_.wvu.FilterData" localSheetId="3" hidden="1">AF!$G$1:$G$1063</definedName>
  </definedNames>
  <calcPr calcId="191029"/>
  <customWorkbookViews>
    <customWorkbookView name="order by date" guid="{690C070F-8107-459A-B949-BA7C433CC32D}" maximized="1" windowWidth="0" windowHeight="0" activeSheetId="0"/>
    <customWorkbookView name="Filter 1" guid="{CF4F7ABF-A8C6-44E6-B8E3-1DEF3E38054C}"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17" l="1"/>
  <c r="A13" i="17"/>
  <c r="B10" i="17"/>
  <c r="A6" i="17"/>
  <c r="A5" i="17"/>
  <c r="A4" i="17"/>
  <c r="A128" i="16"/>
  <c r="A116" i="16"/>
  <c r="A115" i="16"/>
  <c r="A114" i="16"/>
  <c r="A113" i="16"/>
  <c r="A112" i="16"/>
  <c r="A111" i="16"/>
  <c r="A110" i="16"/>
  <c r="A107" i="16"/>
  <c r="B104" i="16"/>
  <c r="C130" i="15"/>
  <c r="C118" i="15"/>
  <c r="C117" i="15"/>
  <c r="C116" i="15"/>
  <c r="C115" i="15"/>
  <c r="C114" i="15"/>
  <c r="C113" i="15"/>
  <c r="C112" i="15"/>
  <c r="C109" i="15"/>
  <c r="W97" i="15"/>
  <c r="V97" i="15"/>
  <c r="U97" i="15"/>
  <c r="T97" i="15"/>
  <c r="S97" i="15"/>
  <c r="R97" i="15"/>
  <c r="Q97" i="15"/>
  <c r="P97" i="15"/>
  <c r="O97" i="15"/>
  <c r="N97" i="15"/>
  <c r="M97" i="15"/>
  <c r="L97" i="15"/>
  <c r="K97" i="15"/>
  <c r="J97" i="15"/>
  <c r="I97" i="15"/>
  <c r="H97" i="15"/>
  <c r="G97" i="15"/>
  <c r="F97" i="15"/>
  <c r="E97" i="15"/>
  <c r="D97" i="15"/>
  <c r="C97" i="15"/>
  <c r="B97" i="15"/>
  <c r="A97" i="15"/>
  <c r="W96" i="15"/>
  <c r="V96" i="15"/>
  <c r="U96" i="15"/>
  <c r="T96" i="15"/>
  <c r="S96" i="15"/>
  <c r="R96" i="15"/>
  <c r="Q96" i="15"/>
  <c r="P96" i="15"/>
  <c r="O96" i="15"/>
  <c r="N96" i="15"/>
  <c r="M96" i="15"/>
  <c r="L96" i="15"/>
  <c r="K96" i="15"/>
  <c r="J96" i="15"/>
  <c r="I96" i="15"/>
  <c r="H96" i="15"/>
  <c r="G96" i="15"/>
  <c r="F96" i="15"/>
  <c r="E96" i="15"/>
  <c r="D96" i="15"/>
  <c r="C96" i="15"/>
  <c r="B96" i="15"/>
  <c r="A96" i="15"/>
  <c r="W14" i="15"/>
  <c r="V14" i="15"/>
  <c r="U14" i="15"/>
  <c r="T14" i="15"/>
  <c r="S14" i="15"/>
  <c r="R14" i="15"/>
  <c r="Q14" i="15"/>
  <c r="P14" i="15"/>
  <c r="O14" i="15"/>
  <c r="N14" i="15"/>
  <c r="M14" i="15"/>
  <c r="L14" i="15"/>
  <c r="E24" i="15" s="1"/>
  <c r="K14" i="15"/>
  <c r="J14" i="15"/>
  <c r="I14" i="15"/>
  <c r="H14" i="15"/>
  <c r="G14" i="15"/>
  <c r="F14" i="15"/>
  <c r="E14" i="15"/>
  <c r="D14" i="15"/>
  <c r="E23" i="15" s="1"/>
  <c r="C14" i="15"/>
  <c r="B14" i="15"/>
  <c r="A14" i="15"/>
  <c r="W3" i="15"/>
  <c r="V3" i="15"/>
  <c r="U3" i="15"/>
  <c r="T3" i="15"/>
  <c r="S3" i="15"/>
  <c r="R3" i="15"/>
  <c r="Q3" i="15"/>
  <c r="P3" i="15"/>
  <c r="O3" i="15"/>
  <c r="N3" i="15"/>
  <c r="M3" i="15"/>
  <c r="L3" i="15"/>
  <c r="D24" i="15" s="1"/>
  <c r="K3" i="15"/>
  <c r="J3" i="15"/>
  <c r="I3" i="15"/>
  <c r="H3" i="15"/>
  <c r="G3" i="15"/>
  <c r="F3" i="15"/>
  <c r="E3" i="15"/>
  <c r="D3" i="15"/>
  <c r="C3" i="15"/>
  <c r="B3" i="15"/>
  <c r="S4" i="14"/>
  <c r="R4" i="14"/>
  <c r="Q4" i="14"/>
  <c r="P4" i="14"/>
  <c r="O4" i="14"/>
  <c r="N4" i="14"/>
  <c r="M4" i="14"/>
  <c r="L4" i="14"/>
  <c r="K4" i="14"/>
  <c r="J4" i="14"/>
  <c r="I4" i="14"/>
  <c r="H4" i="14"/>
  <c r="G4" i="14"/>
  <c r="F4" i="14"/>
  <c r="E4" i="14"/>
  <c r="D4" i="14"/>
  <c r="C4" i="14"/>
  <c r="B4" i="14"/>
  <c r="A4" i="14"/>
  <c r="S3" i="14"/>
  <c r="R3" i="14"/>
  <c r="Q3" i="14"/>
  <c r="P3" i="14"/>
  <c r="O3" i="14"/>
  <c r="N3" i="14"/>
  <c r="M3" i="14"/>
  <c r="L3" i="14"/>
  <c r="K3" i="14"/>
  <c r="J3" i="14"/>
  <c r="I3" i="14"/>
  <c r="H3" i="14"/>
  <c r="G3" i="14"/>
  <c r="F3" i="14"/>
  <c r="E3" i="14"/>
  <c r="D3" i="14"/>
  <c r="C3" i="14"/>
  <c r="B3" i="14"/>
  <c r="C129" i="13"/>
  <c r="C117" i="13"/>
  <c r="C116" i="13"/>
  <c r="C115" i="13"/>
  <c r="C114" i="13"/>
  <c r="C113" i="13"/>
  <c r="C112" i="13"/>
  <c r="C111" i="13"/>
  <c r="C108" i="13"/>
  <c r="B106" i="13"/>
  <c r="D105" i="13"/>
  <c r="W83" i="13"/>
  <c r="U83" i="13"/>
  <c r="W82" i="13"/>
  <c r="U82" i="13"/>
  <c r="W81" i="13"/>
  <c r="U81" i="13"/>
  <c r="W80" i="13"/>
  <c r="U80" i="13"/>
  <c r="T80" i="13"/>
  <c r="C80" i="13"/>
  <c r="W79" i="13"/>
  <c r="U79" i="13"/>
  <c r="T79" i="13"/>
  <c r="W78" i="13"/>
  <c r="V78" i="13"/>
  <c r="U78" i="13"/>
  <c r="T78" i="13"/>
  <c r="C78" i="13"/>
  <c r="W77" i="13"/>
  <c r="U77" i="13"/>
  <c r="T77" i="13"/>
  <c r="C77" i="13"/>
  <c r="W76" i="13"/>
  <c r="V76" i="13"/>
  <c r="U76" i="13"/>
  <c r="T76" i="13"/>
  <c r="W75" i="13"/>
  <c r="U75" i="13"/>
  <c r="T75" i="13"/>
  <c r="W74" i="13"/>
  <c r="V74" i="13"/>
  <c r="U74" i="13"/>
  <c r="T74" i="13"/>
  <c r="C74" i="13"/>
  <c r="W73" i="13"/>
  <c r="U73" i="13"/>
  <c r="T73" i="13"/>
  <c r="C73" i="13"/>
  <c r="W72" i="13"/>
  <c r="V72" i="13"/>
  <c r="U72" i="13"/>
  <c r="T72" i="13"/>
  <c r="C72" i="13"/>
  <c r="W71" i="13"/>
  <c r="U71" i="13"/>
  <c r="T71" i="13"/>
  <c r="C71" i="13"/>
  <c r="W70" i="13"/>
  <c r="U70" i="13"/>
  <c r="T70" i="13"/>
  <c r="C70" i="13"/>
  <c r="W69" i="13"/>
  <c r="U69" i="13"/>
  <c r="T69" i="13"/>
  <c r="W68" i="13"/>
  <c r="U68" i="13"/>
  <c r="T68" i="13"/>
  <c r="C68" i="13"/>
  <c r="W67" i="13"/>
  <c r="U67" i="13"/>
  <c r="T67" i="13"/>
  <c r="C67" i="13"/>
  <c r="W66" i="13"/>
  <c r="U66" i="13"/>
  <c r="T66" i="13"/>
  <c r="W65" i="13"/>
  <c r="V65" i="13"/>
  <c r="U65" i="13"/>
  <c r="T65" i="13"/>
  <c r="W64" i="13"/>
  <c r="U64" i="13"/>
  <c r="T64" i="13"/>
  <c r="C64" i="13"/>
  <c r="W63" i="13"/>
  <c r="V63" i="13"/>
  <c r="U63" i="13"/>
  <c r="T63" i="13"/>
  <c r="C63" i="13"/>
  <c r="W62" i="13"/>
  <c r="U62" i="13"/>
  <c r="T62" i="13"/>
  <c r="W61" i="13"/>
  <c r="U61" i="13"/>
  <c r="T61" i="13"/>
  <c r="W60" i="13"/>
  <c r="U60" i="13"/>
  <c r="T60" i="13"/>
  <c r="W59" i="13"/>
  <c r="U59" i="13"/>
  <c r="T59" i="13"/>
  <c r="C59" i="13"/>
  <c r="W58" i="13"/>
  <c r="U58" i="13"/>
  <c r="T58" i="13"/>
  <c r="C58" i="13"/>
  <c r="W57" i="13"/>
  <c r="V57" i="13"/>
  <c r="U57" i="13"/>
  <c r="T57" i="13"/>
  <c r="C57" i="13"/>
  <c r="W56" i="13"/>
  <c r="V56" i="13"/>
  <c r="U56" i="13"/>
  <c r="T56" i="13"/>
  <c r="C56" i="13"/>
  <c r="W54" i="13"/>
  <c r="V54" i="13"/>
  <c r="U54" i="13"/>
  <c r="T54" i="13"/>
  <c r="C54" i="13"/>
  <c r="W53" i="13"/>
  <c r="U53" i="13"/>
  <c r="T53" i="13"/>
  <c r="W52" i="13"/>
  <c r="V52" i="13"/>
  <c r="U52" i="13"/>
  <c r="T52" i="13"/>
  <c r="W51" i="13"/>
  <c r="U51" i="13"/>
  <c r="T51" i="13"/>
  <c r="W50" i="13"/>
  <c r="U50" i="13"/>
  <c r="T50" i="13"/>
  <c r="C50" i="13"/>
  <c r="W49" i="13"/>
  <c r="U49" i="13"/>
  <c r="T49" i="13"/>
  <c r="W48" i="13"/>
  <c r="U48" i="13"/>
  <c r="T48" i="13"/>
  <c r="W47" i="13"/>
  <c r="U47" i="13"/>
  <c r="T47" i="13"/>
  <c r="C47" i="13"/>
  <c r="W46" i="13"/>
  <c r="U46" i="13"/>
  <c r="T46" i="13"/>
  <c r="C46" i="13"/>
  <c r="W45" i="13"/>
  <c r="U45" i="13"/>
  <c r="T45" i="13"/>
  <c r="C45" i="13"/>
  <c r="W44" i="13"/>
  <c r="U44" i="13"/>
  <c r="T44" i="13"/>
  <c r="W43" i="13"/>
  <c r="U43" i="13"/>
  <c r="T43" i="13"/>
  <c r="C43" i="13"/>
  <c r="W42" i="13"/>
  <c r="U42" i="13"/>
  <c r="T42" i="13"/>
  <c r="C42" i="13"/>
  <c r="W41" i="13"/>
  <c r="V41" i="13"/>
  <c r="U41" i="13"/>
  <c r="T41" i="13"/>
  <c r="C41" i="13"/>
  <c r="W40" i="13"/>
  <c r="V40" i="13"/>
  <c r="U40" i="13"/>
  <c r="T40" i="13"/>
  <c r="C40" i="13"/>
  <c r="W39" i="13"/>
  <c r="V39" i="13"/>
  <c r="U39" i="13"/>
  <c r="T39" i="13"/>
  <c r="C39" i="13"/>
  <c r="W38" i="13"/>
  <c r="V38" i="13"/>
  <c r="U38" i="13"/>
  <c r="T38" i="13"/>
  <c r="W37" i="13"/>
  <c r="V37" i="13"/>
  <c r="U37" i="13"/>
  <c r="T37" i="13"/>
  <c r="C37" i="13"/>
  <c r="W36" i="13"/>
  <c r="U36" i="13"/>
  <c r="T36" i="13"/>
  <c r="C36" i="13"/>
  <c r="W35" i="13"/>
  <c r="V35" i="13"/>
  <c r="U35" i="13"/>
  <c r="T35" i="13"/>
  <c r="W34" i="13"/>
  <c r="V34" i="13"/>
  <c r="U34" i="13"/>
  <c r="T34" i="13"/>
  <c r="W33" i="13"/>
  <c r="V33" i="13"/>
  <c r="U33" i="13"/>
  <c r="T33" i="13"/>
  <c r="C33" i="13"/>
  <c r="W32" i="13"/>
  <c r="V32" i="13"/>
  <c r="U32" i="13"/>
  <c r="T32" i="13"/>
  <c r="C32" i="13"/>
  <c r="W31" i="13"/>
  <c r="V31" i="13"/>
  <c r="U31" i="13"/>
  <c r="T31" i="13"/>
  <c r="W30" i="13"/>
  <c r="V30" i="13"/>
  <c r="U30" i="13"/>
  <c r="T30" i="13"/>
  <c r="C30" i="13"/>
  <c r="W29" i="13"/>
  <c r="V29" i="13"/>
  <c r="U29" i="13"/>
  <c r="T29" i="13"/>
  <c r="C29" i="13"/>
  <c r="W28" i="13"/>
  <c r="V28" i="13"/>
  <c r="U28" i="13"/>
  <c r="T28" i="13"/>
  <c r="C28" i="13"/>
  <c r="W27" i="13"/>
  <c r="V27" i="13"/>
  <c r="U27" i="13"/>
  <c r="T27" i="13"/>
  <c r="W26" i="13"/>
  <c r="V26" i="13"/>
  <c r="U26" i="13"/>
  <c r="T26" i="13"/>
  <c r="W25" i="13"/>
  <c r="V25" i="13"/>
  <c r="U25" i="13"/>
  <c r="T25" i="13"/>
  <c r="C25" i="13"/>
  <c r="W24" i="13"/>
  <c r="V24" i="13"/>
  <c r="U24" i="13"/>
  <c r="T24" i="13"/>
  <c r="C24" i="13"/>
  <c r="W23" i="13"/>
  <c r="V23" i="13"/>
  <c r="U23" i="13"/>
  <c r="T23" i="13"/>
  <c r="W22" i="13"/>
  <c r="V22" i="13"/>
  <c r="U22" i="13"/>
  <c r="T22" i="13"/>
  <c r="C22" i="13"/>
  <c r="W21" i="13"/>
  <c r="V21" i="13"/>
  <c r="U21" i="13"/>
  <c r="T21" i="13"/>
  <c r="C21" i="13"/>
  <c r="W20" i="13"/>
  <c r="V20" i="13"/>
  <c r="U20" i="13"/>
  <c r="T20" i="13"/>
  <c r="C20" i="13"/>
  <c r="W19" i="13"/>
  <c r="U19" i="13"/>
  <c r="T19" i="13"/>
  <c r="C19" i="13"/>
  <c r="W18" i="13"/>
  <c r="V18" i="13"/>
  <c r="U18" i="13"/>
  <c r="T18" i="13"/>
  <c r="W17" i="13"/>
  <c r="V17" i="13"/>
  <c r="U17" i="13"/>
  <c r="T17" i="13"/>
  <c r="C17" i="13"/>
  <c r="W16" i="13"/>
  <c r="V16" i="13"/>
  <c r="U16" i="13"/>
  <c r="T16" i="13"/>
  <c r="W15" i="13"/>
  <c r="V15" i="13"/>
  <c r="U15" i="13"/>
  <c r="T15" i="13"/>
  <c r="U14" i="13"/>
  <c r="W13" i="13"/>
  <c r="V13" i="13"/>
  <c r="U13" i="13"/>
  <c r="T13" i="13"/>
  <c r="C13" i="13"/>
  <c r="W12" i="13"/>
  <c r="V12" i="13"/>
  <c r="U12" i="13"/>
  <c r="T12" i="13"/>
  <c r="C12" i="13"/>
  <c r="W11" i="13"/>
  <c r="V11" i="13"/>
  <c r="U11" i="13"/>
  <c r="T11" i="13"/>
  <c r="W10" i="13"/>
  <c r="V10" i="13"/>
  <c r="U10" i="13"/>
  <c r="T10" i="13"/>
  <c r="C10" i="13"/>
  <c r="W9" i="13"/>
  <c r="V9" i="13"/>
  <c r="U9" i="13"/>
  <c r="T9" i="13"/>
  <c r="C9" i="13"/>
  <c r="W8" i="13"/>
  <c r="V8" i="13"/>
  <c r="U8" i="13"/>
  <c r="T8" i="13"/>
  <c r="W7" i="13"/>
  <c r="U7" i="13"/>
  <c r="T7" i="13"/>
  <c r="W6" i="13"/>
  <c r="V6" i="13"/>
  <c r="U6" i="13"/>
  <c r="T6" i="13"/>
  <c r="W5" i="13"/>
  <c r="C5" i="13"/>
  <c r="W4" i="13"/>
  <c r="V4" i="13"/>
  <c r="U4" i="13"/>
  <c r="T4" i="13"/>
  <c r="W3" i="13"/>
  <c r="V3" i="13"/>
  <c r="U3" i="13"/>
  <c r="T3" i="13"/>
  <c r="C3" i="13"/>
  <c r="N298" i="12"/>
  <c r="L298" i="12"/>
  <c r="N297" i="12"/>
  <c r="L297" i="12"/>
  <c r="N296" i="12"/>
  <c r="L296" i="12"/>
  <c r="N295" i="12"/>
  <c r="L295" i="12"/>
  <c r="K295" i="12"/>
  <c r="A295" i="12"/>
  <c r="N294" i="12"/>
  <c r="L294" i="12"/>
  <c r="K294" i="12"/>
  <c r="N293" i="12"/>
  <c r="M293" i="12"/>
  <c r="L293" i="12"/>
  <c r="K293" i="12"/>
  <c r="A293" i="12"/>
  <c r="N292" i="12"/>
  <c r="L292" i="12"/>
  <c r="K292" i="12"/>
  <c r="A292" i="12"/>
  <c r="N291" i="12"/>
  <c r="M291" i="12"/>
  <c r="L291" i="12"/>
  <c r="K291" i="12"/>
  <c r="N290" i="12"/>
  <c r="L290" i="12"/>
  <c r="K290" i="12"/>
  <c r="N289" i="12"/>
  <c r="M289" i="12"/>
  <c r="L289" i="12"/>
  <c r="K289" i="12"/>
  <c r="A289" i="12"/>
  <c r="N288" i="12"/>
  <c r="L288" i="12"/>
  <c r="K288" i="12"/>
  <c r="A288" i="12"/>
  <c r="N287" i="12"/>
  <c r="M287" i="12"/>
  <c r="L287" i="12"/>
  <c r="K287" i="12"/>
  <c r="A287" i="12"/>
  <c r="N286" i="12"/>
  <c r="L286" i="12"/>
  <c r="K286" i="12"/>
  <c r="A286" i="12"/>
  <c r="N285" i="12"/>
  <c r="L285" i="12"/>
  <c r="K285" i="12"/>
  <c r="N284" i="12"/>
  <c r="L284" i="12"/>
  <c r="K284" i="12"/>
  <c r="N283" i="12"/>
  <c r="L283" i="12"/>
  <c r="K283" i="12"/>
  <c r="A283" i="12"/>
  <c r="N282" i="12"/>
  <c r="L282" i="12"/>
  <c r="K282" i="12"/>
  <c r="A282" i="12"/>
  <c r="N281" i="12"/>
  <c r="L281" i="12"/>
  <c r="K281" i="12"/>
  <c r="N280" i="12"/>
  <c r="M280" i="12"/>
  <c r="L280" i="12"/>
  <c r="K280" i="12"/>
  <c r="N279" i="12"/>
  <c r="L279" i="12"/>
  <c r="K279" i="12"/>
  <c r="A279" i="12"/>
  <c r="N278" i="12"/>
  <c r="M278" i="12"/>
  <c r="L278" i="12"/>
  <c r="K278" i="12"/>
  <c r="A278" i="12"/>
  <c r="N277" i="12"/>
  <c r="L277" i="12"/>
  <c r="K277" i="12"/>
  <c r="N276" i="12"/>
  <c r="L276" i="12"/>
  <c r="K276" i="12"/>
  <c r="N275" i="12"/>
  <c r="L275" i="12"/>
  <c r="K275" i="12"/>
  <c r="N274" i="12"/>
  <c r="L274" i="12"/>
  <c r="K274" i="12"/>
  <c r="A274" i="12"/>
  <c r="N273" i="12"/>
  <c r="L273" i="12"/>
  <c r="K273" i="12"/>
  <c r="A273" i="12"/>
  <c r="N272" i="12"/>
  <c r="M272" i="12"/>
  <c r="L272" i="12"/>
  <c r="K272" i="12"/>
  <c r="A272" i="12"/>
  <c r="N271" i="12"/>
  <c r="M271" i="12"/>
  <c r="L271" i="12"/>
  <c r="K271" i="12"/>
  <c r="A271" i="12"/>
  <c r="N270" i="12"/>
  <c r="M270" i="12"/>
  <c r="L270" i="12"/>
  <c r="K270" i="12"/>
  <c r="A270" i="12"/>
  <c r="N269" i="12"/>
  <c r="L269" i="12"/>
  <c r="K269" i="12"/>
  <c r="N268" i="12"/>
  <c r="M268" i="12"/>
  <c r="L268" i="12"/>
  <c r="K268" i="12"/>
  <c r="N267" i="12"/>
  <c r="K267" i="12"/>
  <c r="N266" i="12"/>
  <c r="L266" i="12"/>
  <c r="K266" i="12"/>
  <c r="A266" i="12"/>
  <c r="N265" i="12"/>
  <c r="L265" i="12"/>
  <c r="K265" i="12"/>
  <c r="N264" i="12"/>
  <c r="L264" i="12"/>
  <c r="K264" i="12"/>
  <c r="N263" i="12"/>
  <c r="L263" i="12"/>
  <c r="K263" i="12"/>
  <c r="A263" i="12"/>
  <c r="N262" i="12"/>
  <c r="L262" i="12"/>
  <c r="K262" i="12"/>
  <c r="A262" i="12"/>
  <c r="N261" i="12"/>
  <c r="L261" i="12"/>
  <c r="K261" i="12"/>
  <c r="A261" i="12"/>
  <c r="N260" i="12"/>
  <c r="L260" i="12"/>
  <c r="K260" i="12"/>
  <c r="N259" i="12"/>
  <c r="L259" i="12"/>
  <c r="K259" i="12"/>
  <c r="A259" i="12"/>
  <c r="N258" i="12"/>
  <c r="L258" i="12"/>
  <c r="K258" i="12"/>
  <c r="A258" i="12"/>
  <c r="N257" i="12"/>
  <c r="M257" i="12"/>
  <c r="L257" i="12"/>
  <c r="N256" i="12"/>
  <c r="M256" i="12"/>
  <c r="L256" i="12"/>
  <c r="K256" i="12"/>
  <c r="A256" i="12"/>
  <c r="N255" i="12"/>
  <c r="M255" i="12"/>
  <c r="L255" i="12"/>
  <c r="K255" i="12"/>
  <c r="A255" i="12"/>
  <c r="N254" i="12"/>
  <c r="M254" i="12"/>
  <c r="L254" i="12"/>
  <c r="K254" i="12"/>
  <c r="N253" i="12"/>
  <c r="M253" i="12"/>
  <c r="L253" i="12"/>
  <c r="K253" i="12"/>
  <c r="A253" i="12"/>
  <c r="N252" i="12"/>
  <c r="L252" i="12"/>
  <c r="K252" i="12"/>
  <c r="A252" i="12"/>
  <c r="N251" i="12"/>
  <c r="M251" i="12"/>
  <c r="L251" i="12"/>
  <c r="K251" i="12"/>
  <c r="N250" i="12"/>
  <c r="M250" i="12"/>
  <c r="L250" i="12"/>
  <c r="K250" i="12"/>
  <c r="N249" i="12"/>
  <c r="M249" i="12"/>
  <c r="L249" i="12"/>
  <c r="K249" i="12"/>
  <c r="A249" i="12"/>
  <c r="N248" i="12"/>
  <c r="M248" i="12"/>
  <c r="L248" i="12"/>
  <c r="K248" i="12"/>
  <c r="A248" i="12"/>
  <c r="N247" i="12"/>
  <c r="M247" i="12"/>
  <c r="L247" i="12"/>
  <c r="K247" i="12"/>
  <c r="N246" i="12"/>
  <c r="M246" i="12"/>
  <c r="L246" i="12"/>
  <c r="K246" i="12"/>
  <c r="A246" i="12"/>
  <c r="N245" i="12"/>
  <c r="M245" i="12"/>
  <c r="L245" i="12"/>
  <c r="K245" i="12"/>
  <c r="A245" i="12"/>
  <c r="N244" i="12"/>
  <c r="M244" i="12"/>
  <c r="L244" i="12"/>
  <c r="K244" i="12"/>
  <c r="A244" i="12"/>
  <c r="N243" i="12"/>
  <c r="M243" i="12"/>
  <c r="L243" i="12"/>
  <c r="K243" i="12"/>
  <c r="N242" i="12"/>
  <c r="M242" i="12"/>
  <c r="L242" i="12"/>
  <c r="K242" i="12"/>
  <c r="N241" i="12"/>
  <c r="M241" i="12"/>
  <c r="L241" i="12"/>
  <c r="K241" i="12"/>
  <c r="A241" i="12"/>
  <c r="N240" i="12"/>
  <c r="M240" i="12"/>
  <c r="L240" i="12"/>
  <c r="K240" i="12"/>
  <c r="A240" i="12"/>
  <c r="N239" i="12"/>
  <c r="M239" i="12"/>
  <c r="L239" i="12"/>
  <c r="K239" i="12"/>
  <c r="N238" i="12"/>
  <c r="M238" i="12"/>
  <c r="L238" i="12"/>
  <c r="K238" i="12"/>
  <c r="A238" i="12"/>
  <c r="N237" i="12"/>
  <c r="M237" i="12"/>
  <c r="L237" i="12"/>
  <c r="K237" i="12"/>
  <c r="A237" i="12"/>
  <c r="N236" i="12"/>
  <c r="M236" i="12"/>
  <c r="L236" i="12"/>
  <c r="K236" i="12"/>
  <c r="A236" i="12"/>
  <c r="N235" i="12"/>
  <c r="L235" i="12"/>
  <c r="K235" i="12"/>
  <c r="A235" i="12"/>
  <c r="N234" i="12"/>
  <c r="M234" i="12"/>
  <c r="L234" i="12"/>
  <c r="K234" i="12"/>
  <c r="N233" i="12"/>
  <c r="M233" i="12"/>
  <c r="L233" i="12"/>
  <c r="K233" i="12"/>
  <c r="A233" i="12"/>
  <c r="N212" i="12"/>
  <c r="L212" i="12"/>
  <c r="N211" i="12"/>
  <c r="L211" i="12"/>
  <c r="N210" i="12"/>
  <c r="L210" i="12"/>
  <c r="N209" i="12"/>
  <c r="L209" i="12"/>
  <c r="K209" i="12"/>
  <c r="A209" i="12"/>
  <c r="N208" i="12"/>
  <c r="M208" i="12"/>
  <c r="L208" i="12"/>
  <c r="K208" i="12"/>
  <c r="N207" i="12"/>
  <c r="M207" i="12"/>
  <c r="L207" i="12"/>
  <c r="K207" i="12"/>
  <c r="A207" i="12"/>
  <c r="N206" i="12"/>
  <c r="L206" i="12"/>
  <c r="K206" i="12"/>
  <c r="A206" i="12"/>
  <c r="N205" i="12"/>
  <c r="M205" i="12"/>
  <c r="L205" i="12"/>
  <c r="K205" i="12"/>
  <c r="N204" i="12"/>
  <c r="L204" i="12"/>
  <c r="K204" i="12"/>
  <c r="N203" i="12"/>
  <c r="M203" i="12"/>
  <c r="L203" i="12"/>
  <c r="K203" i="12"/>
  <c r="A203" i="12"/>
  <c r="N202" i="12"/>
  <c r="L202" i="12"/>
  <c r="K202" i="12"/>
  <c r="A202" i="12"/>
  <c r="N201" i="12"/>
  <c r="M201" i="12"/>
  <c r="L201" i="12"/>
  <c r="K201" i="12"/>
  <c r="A201" i="12"/>
  <c r="N200" i="12"/>
  <c r="L200" i="12"/>
  <c r="K200" i="12"/>
  <c r="A200" i="12"/>
  <c r="N199" i="12"/>
  <c r="L199" i="12"/>
  <c r="K199" i="12"/>
  <c r="N198" i="12"/>
  <c r="L198" i="12"/>
  <c r="K198" i="12"/>
  <c r="N197" i="12"/>
  <c r="L197" i="12"/>
  <c r="K197" i="12"/>
  <c r="A197" i="12"/>
  <c r="N196" i="12"/>
  <c r="L196" i="12"/>
  <c r="K196" i="12"/>
  <c r="A196" i="12"/>
  <c r="N195" i="12"/>
  <c r="L195" i="12"/>
  <c r="K195" i="12"/>
  <c r="L194" i="12"/>
  <c r="N193" i="12"/>
  <c r="L193" i="12"/>
  <c r="K193" i="12"/>
  <c r="A193" i="12"/>
  <c r="N192" i="12"/>
  <c r="M192" i="12"/>
  <c r="L192" i="12"/>
  <c r="K192" i="12"/>
  <c r="A192" i="12"/>
  <c r="N191" i="12"/>
  <c r="L191" i="12"/>
  <c r="K191" i="12"/>
  <c r="N190" i="12"/>
  <c r="L190" i="12"/>
  <c r="K190" i="12"/>
  <c r="N189" i="12"/>
  <c r="M189" i="12"/>
  <c r="L189" i="12"/>
  <c r="K189" i="12"/>
  <c r="A189" i="12"/>
  <c r="N188" i="12"/>
  <c r="L188" i="12"/>
  <c r="K188" i="12"/>
  <c r="A188" i="12"/>
  <c r="N187" i="12"/>
  <c r="L187" i="12"/>
  <c r="K187" i="12"/>
  <c r="A187" i="12"/>
  <c r="N186" i="12"/>
  <c r="M186" i="12"/>
  <c r="L186" i="12"/>
  <c r="K186" i="12"/>
  <c r="A186" i="12"/>
  <c r="N185" i="12"/>
  <c r="M185" i="12"/>
  <c r="L185" i="12"/>
  <c r="K185" i="12"/>
  <c r="A185" i="12"/>
  <c r="N184" i="12"/>
  <c r="M184" i="12"/>
  <c r="L184" i="12"/>
  <c r="K184" i="12"/>
  <c r="A184" i="12"/>
  <c r="N183" i="12"/>
  <c r="L183" i="12"/>
  <c r="K183" i="12"/>
  <c r="N182" i="12"/>
  <c r="M182" i="12"/>
  <c r="L182" i="12"/>
  <c r="K182" i="12"/>
  <c r="A182" i="12"/>
  <c r="N181" i="12"/>
  <c r="K181" i="12"/>
  <c r="N180" i="12"/>
  <c r="L180" i="12"/>
  <c r="K180" i="12"/>
  <c r="A180" i="12"/>
  <c r="N179" i="12"/>
  <c r="M179" i="12"/>
  <c r="L179" i="12"/>
  <c r="K179" i="12"/>
  <c r="N178" i="12"/>
  <c r="L178" i="12"/>
  <c r="K178" i="12"/>
  <c r="N177" i="12"/>
  <c r="L177" i="12"/>
  <c r="K177" i="12"/>
  <c r="A177" i="12"/>
  <c r="N176" i="12"/>
  <c r="M176" i="12"/>
  <c r="L176" i="12"/>
  <c r="K176" i="12"/>
  <c r="A176" i="12"/>
  <c r="N175" i="12"/>
  <c r="L175" i="12"/>
  <c r="K175" i="12"/>
  <c r="A175" i="12"/>
  <c r="N174" i="12"/>
  <c r="L174" i="12"/>
  <c r="K174" i="12"/>
  <c r="N173" i="12"/>
  <c r="L173" i="12"/>
  <c r="K173" i="12"/>
  <c r="A173" i="12"/>
  <c r="N172" i="12"/>
  <c r="L172" i="12"/>
  <c r="K172" i="12"/>
  <c r="A172" i="12"/>
  <c r="N171" i="12"/>
  <c r="M171" i="12"/>
  <c r="L171" i="12"/>
  <c r="N170" i="12"/>
  <c r="M170" i="12"/>
  <c r="L170" i="12"/>
  <c r="K170" i="12"/>
  <c r="A170" i="12"/>
  <c r="N169" i="12"/>
  <c r="M169" i="12"/>
  <c r="L169" i="12"/>
  <c r="K169" i="12"/>
  <c r="A169" i="12"/>
  <c r="N168" i="12"/>
  <c r="M168" i="12"/>
  <c r="L168" i="12"/>
  <c r="K168" i="12"/>
  <c r="N167" i="12"/>
  <c r="M167" i="12"/>
  <c r="L167" i="12"/>
  <c r="K167" i="12"/>
  <c r="A167" i="12"/>
  <c r="N166" i="12"/>
  <c r="M166" i="12"/>
  <c r="L166" i="12"/>
  <c r="K166" i="12"/>
  <c r="N165" i="12"/>
  <c r="M165" i="12"/>
  <c r="L165" i="12"/>
  <c r="K165" i="12"/>
  <c r="N164" i="12"/>
  <c r="M164" i="12"/>
  <c r="L164" i="12"/>
  <c r="K164" i="12"/>
  <c r="N163" i="12"/>
  <c r="M163" i="12"/>
  <c r="L163" i="12"/>
  <c r="K163" i="12"/>
  <c r="A163" i="12"/>
  <c r="N162" i="12"/>
  <c r="M162" i="12"/>
  <c r="L162" i="12"/>
  <c r="K162" i="12"/>
  <c r="A162" i="12"/>
  <c r="N161" i="12"/>
  <c r="L161" i="12"/>
  <c r="K161" i="12"/>
  <c r="N160" i="12"/>
  <c r="M160" i="12"/>
  <c r="L160" i="12"/>
  <c r="K160" i="12"/>
  <c r="A160" i="12"/>
  <c r="N159" i="12"/>
  <c r="M159" i="12"/>
  <c r="L159" i="12"/>
  <c r="K159" i="12"/>
  <c r="A159" i="12"/>
  <c r="N158" i="12"/>
  <c r="M158" i="12"/>
  <c r="L158" i="12"/>
  <c r="K158" i="12"/>
  <c r="A158" i="12"/>
  <c r="N157" i="12"/>
  <c r="M157" i="12"/>
  <c r="L157" i="12"/>
  <c r="K157" i="12"/>
  <c r="N156" i="12"/>
  <c r="M156" i="12"/>
  <c r="L156" i="12"/>
  <c r="K156" i="12"/>
  <c r="N155" i="12"/>
  <c r="M155" i="12"/>
  <c r="L155" i="12"/>
  <c r="K155" i="12"/>
  <c r="A155" i="12"/>
  <c r="N154" i="12"/>
  <c r="M154" i="12"/>
  <c r="L154" i="12"/>
  <c r="K154" i="12"/>
  <c r="A154" i="12"/>
  <c r="N153" i="12"/>
  <c r="M153" i="12"/>
  <c r="L153" i="12"/>
  <c r="K153" i="12"/>
  <c r="N152" i="12"/>
  <c r="M152" i="12"/>
  <c r="L152" i="12"/>
  <c r="K152" i="12"/>
  <c r="A152" i="12"/>
  <c r="N151" i="12"/>
  <c r="M151" i="12"/>
  <c r="L151" i="12"/>
  <c r="K151" i="12"/>
  <c r="A151" i="12"/>
  <c r="N150" i="12"/>
  <c r="M150" i="12"/>
  <c r="L150" i="12"/>
  <c r="K150" i="12"/>
  <c r="A150" i="12"/>
  <c r="N149" i="12"/>
  <c r="L149" i="12"/>
  <c r="K149" i="12"/>
  <c r="A149" i="12"/>
  <c r="N148" i="12"/>
  <c r="M148" i="12"/>
  <c r="L148" i="12"/>
  <c r="K148" i="12"/>
  <c r="N147" i="12"/>
  <c r="L147" i="12"/>
  <c r="N146" i="12"/>
  <c r="L146" i="12"/>
  <c r="N145" i="12"/>
  <c r="L145" i="12"/>
  <c r="N144" i="12"/>
  <c r="L144" i="12"/>
  <c r="K144" i="12"/>
  <c r="A144" i="12"/>
  <c r="N143" i="12"/>
  <c r="M143" i="12"/>
  <c r="L143" i="12"/>
  <c r="K143" i="12"/>
  <c r="A143" i="12"/>
  <c r="N142" i="12"/>
  <c r="M142" i="12"/>
  <c r="L142" i="12"/>
  <c r="K142" i="12"/>
  <c r="A142" i="12"/>
  <c r="N141" i="12"/>
  <c r="L141" i="12"/>
  <c r="K141" i="12"/>
  <c r="A141" i="12"/>
  <c r="N140" i="12"/>
  <c r="M140" i="12"/>
  <c r="L140" i="12"/>
  <c r="K140" i="12"/>
  <c r="N139" i="12"/>
  <c r="L139" i="12"/>
  <c r="K139" i="12"/>
  <c r="N138" i="12"/>
  <c r="M138" i="12"/>
  <c r="L138" i="12"/>
  <c r="K138" i="12"/>
  <c r="A138" i="12"/>
  <c r="N137" i="12"/>
  <c r="L137" i="12"/>
  <c r="K137" i="12"/>
  <c r="A137" i="12"/>
  <c r="N136" i="12"/>
  <c r="M136" i="12"/>
  <c r="L136" i="12"/>
  <c r="K136" i="12"/>
  <c r="A136" i="12"/>
  <c r="N135" i="12"/>
  <c r="L135" i="12"/>
  <c r="K135" i="12"/>
  <c r="A135" i="12"/>
  <c r="N134" i="12"/>
  <c r="L134" i="12"/>
  <c r="K134" i="12"/>
  <c r="N133" i="12"/>
  <c r="L133" i="12"/>
  <c r="K133" i="12"/>
  <c r="N132" i="12"/>
  <c r="L132" i="12"/>
  <c r="K132" i="12"/>
  <c r="A132" i="12"/>
  <c r="N131" i="12"/>
  <c r="L131" i="12"/>
  <c r="K131" i="12"/>
  <c r="A131" i="12"/>
  <c r="N130" i="12"/>
  <c r="L130" i="12"/>
  <c r="K130" i="12"/>
  <c r="N129" i="12"/>
  <c r="A129" i="12"/>
  <c r="N128" i="12"/>
  <c r="L128" i="12"/>
  <c r="K128" i="12"/>
  <c r="A128" i="12"/>
  <c r="N127" i="12"/>
  <c r="M127" i="12"/>
  <c r="L127" i="12"/>
  <c r="K127" i="12"/>
  <c r="A127" i="12"/>
  <c r="N126" i="12"/>
  <c r="L126" i="12"/>
  <c r="K126" i="12"/>
  <c r="N125" i="12"/>
  <c r="L125" i="12"/>
  <c r="K125" i="12"/>
  <c r="N124" i="12"/>
  <c r="M124" i="12"/>
  <c r="L124" i="12"/>
  <c r="K124" i="12"/>
  <c r="A124" i="12"/>
  <c r="N123" i="12"/>
  <c r="L123" i="12"/>
  <c r="K123" i="12"/>
  <c r="A123" i="12"/>
  <c r="N122" i="12"/>
  <c r="L122" i="12"/>
  <c r="K122" i="12"/>
  <c r="A122" i="12"/>
  <c r="N121" i="12"/>
  <c r="M121" i="12"/>
  <c r="L121" i="12"/>
  <c r="K121" i="12"/>
  <c r="A121" i="12"/>
  <c r="N120" i="12"/>
  <c r="M120" i="12"/>
  <c r="L120" i="12"/>
  <c r="K120" i="12"/>
  <c r="A120" i="12"/>
  <c r="N119" i="12"/>
  <c r="M119" i="12"/>
  <c r="L119" i="12"/>
  <c r="K119" i="12"/>
  <c r="A119" i="12"/>
  <c r="N118" i="12"/>
  <c r="L118" i="12"/>
  <c r="K118" i="12"/>
  <c r="N117" i="12"/>
  <c r="M117" i="12"/>
  <c r="L117" i="12"/>
  <c r="K117" i="12"/>
  <c r="A117" i="12"/>
  <c r="N116" i="12"/>
  <c r="K116" i="12"/>
  <c r="N115" i="12"/>
  <c r="L115" i="12"/>
  <c r="K115" i="12"/>
  <c r="A115" i="12"/>
  <c r="N114" i="12"/>
  <c r="M114" i="12"/>
  <c r="L114" i="12"/>
  <c r="K114" i="12"/>
  <c r="N113" i="12"/>
  <c r="L113" i="12"/>
  <c r="K113" i="12"/>
  <c r="N112" i="12"/>
  <c r="L112" i="12"/>
  <c r="K112" i="12"/>
  <c r="A112" i="12"/>
  <c r="N111" i="12"/>
  <c r="M111" i="12"/>
  <c r="L111" i="12"/>
  <c r="K111" i="12"/>
  <c r="A111" i="12"/>
  <c r="N110" i="12"/>
  <c r="L110" i="12"/>
  <c r="K110" i="12"/>
  <c r="A110" i="12"/>
  <c r="N109" i="12"/>
  <c r="L109" i="12"/>
  <c r="K109" i="12"/>
  <c r="N108" i="12"/>
  <c r="L108" i="12"/>
  <c r="K108" i="12"/>
  <c r="A108" i="12"/>
  <c r="N107" i="12"/>
  <c r="L107" i="12"/>
  <c r="K107" i="12"/>
  <c r="A107" i="12"/>
  <c r="N106" i="12"/>
  <c r="M106" i="12"/>
  <c r="L106" i="12"/>
  <c r="N105" i="12"/>
  <c r="M105" i="12"/>
  <c r="L105" i="12"/>
  <c r="K105" i="12"/>
  <c r="A105" i="12"/>
  <c r="N104" i="12"/>
  <c r="M104" i="12"/>
  <c r="L104" i="12"/>
  <c r="K104" i="12"/>
  <c r="A104" i="12"/>
  <c r="N103" i="12"/>
  <c r="M103" i="12"/>
  <c r="L103" i="12"/>
  <c r="K103" i="12"/>
  <c r="N102" i="12"/>
  <c r="M102" i="12"/>
  <c r="L102" i="12"/>
  <c r="K102" i="12"/>
  <c r="A102" i="12"/>
  <c r="N101" i="12"/>
  <c r="M101" i="12"/>
  <c r="L101" i="12"/>
  <c r="K101" i="12"/>
  <c r="N100" i="12"/>
  <c r="M100" i="12"/>
  <c r="L100" i="12"/>
  <c r="K100" i="12"/>
  <c r="N99" i="12"/>
  <c r="M99" i="12"/>
  <c r="L99" i="12"/>
  <c r="K99" i="12"/>
  <c r="N98" i="12"/>
  <c r="M98" i="12"/>
  <c r="L98" i="12"/>
  <c r="K98" i="12"/>
  <c r="A98" i="12"/>
  <c r="N97" i="12"/>
  <c r="M97" i="12"/>
  <c r="L97" i="12"/>
  <c r="K97" i="12"/>
  <c r="A97" i="12"/>
  <c r="N96" i="12"/>
  <c r="M96" i="12"/>
  <c r="L96" i="12"/>
  <c r="K96" i="12"/>
  <c r="N95" i="12"/>
  <c r="M95" i="12"/>
  <c r="L95" i="12"/>
  <c r="K95" i="12"/>
  <c r="A95" i="12"/>
  <c r="N94" i="12"/>
  <c r="M94" i="12"/>
  <c r="L94" i="12"/>
  <c r="K94" i="12"/>
  <c r="A94" i="12"/>
  <c r="N93" i="12"/>
  <c r="M93" i="12"/>
  <c r="L93" i="12"/>
  <c r="K93" i="12"/>
  <c r="A93" i="12"/>
  <c r="N92" i="12"/>
  <c r="M92" i="12"/>
  <c r="L92" i="12"/>
  <c r="K92" i="12"/>
  <c r="N91" i="12"/>
  <c r="M91" i="12"/>
  <c r="L91" i="12"/>
  <c r="K91" i="12"/>
  <c r="N90" i="12"/>
  <c r="M90" i="12"/>
  <c r="L90" i="12"/>
  <c r="K90" i="12"/>
  <c r="A90" i="12"/>
  <c r="N89" i="12"/>
  <c r="M89" i="12"/>
  <c r="L89" i="12"/>
  <c r="K89" i="12"/>
  <c r="A89" i="12"/>
  <c r="N88" i="12"/>
  <c r="M88" i="12"/>
  <c r="L88" i="12"/>
  <c r="K88" i="12"/>
  <c r="A88" i="12"/>
  <c r="N87" i="12"/>
  <c r="M87" i="12"/>
  <c r="L87" i="12"/>
  <c r="K87" i="12"/>
  <c r="A87" i="12"/>
  <c r="N86" i="12"/>
  <c r="M86" i="12"/>
  <c r="L86" i="12"/>
  <c r="K86" i="12"/>
  <c r="A86" i="12"/>
  <c r="N85" i="12"/>
  <c r="M85" i="12"/>
  <c r="L85" i="12"/>
  <c r="K85" i="12"/>
  <c r="A85" i="12"/>
  <c r="N84" i="12"/>
  <c r="L84" i="12"/>
  <c r="K84" i="12"/>
  <c r="A84" i="12"/>
  <c r="N83" i="12"/>
  <c r="M83" i="12"/>
  <c r="L83" i="12"/>
  <c r="K83" i="12"/>
  <c r="N82" i="12"/>
  <c r="M82" i="12"/>
  <c r="L82" i="12"/>
  <c r="K82" i="12"/>
  <c r="A82" i="12"/>
  <c r="N77" i="12"/>
  <c r="M77" i="12"/>
  <c r="L77" i="12"/>
  <c r="K77" i="12"/>
  <c r="N74" i="12"/>
  <c r="A74" i="12"/>
  <c r="N63" i="12"/>
  <c r="M63" i="12"/>
  <c r="L63" i="12"/>
  <c r="K63" i="12"/>
  <c r="A63" i="12"/>
  <c r="N58" i="12"/>
  <c r="M58" i="12"/>
  <c r="L58" i="12"/>
  <c r="K58" i="12"/>
  <c r="A58" i="12"/>
  <c r="N51" i="12"/>
  <c r="M51" i="12"/>
  <c r="L51" i="12"/>
  <c r="K51" i="12"/>
  <c r="N48" i="12"/>
  <c r="M48" i="12"/>
  <c r="L48" i="12"/>
  <c r="K48" i="12"/>
  <c r="A48" i="12"/>
  <c r="N45" i="12"/>
  <c r="M45" i="12"/>
  <c r="L45" i="12"/>
  <c r="K45" i="12"/>
  <c r="A45" i="12"/>
  <c r="N39" i="12"/>
  <c r="M39" i="12"/>
  <c r="L39" i="12"/>
  <c r="K39" i="12"/>
  <c r="N35" i="12"/>
  <c r="M35" i="12"/>
  <c r="L35" i="12"/>
  <c r="K35" i="12"/>
  <c r="N22" i="12"/>
  <c r="M22" i="12"/>
  <c r="L22" i="12"/>
  <c r="K22" i="12"/>
  <c r="A22" i="12"/>
  <c r="N14" i="12"/>
  <c r="A14" i="12"/>
  <c r="N7" i="12"/>
  <c r="M7" i="12"/>
  <c r="L7" i="12"/>
  <c r="K7" i="12"/>
  <c r="N6" i="12"/>
  <c r="M6" i="12"/>
  <c r="L6" i="12"/>
  <c r="K6" i="12"/>
  <c r="N151" i="11"/>
  <c r="L151" i="11"/>
  <c r="N150" i="11"/>
  <c r="L150" i="11"/>
  <c r="N149" i="11"/>
  <c r="L149" i="11"/>
  <c r="N148" i="11"/>
  <c r="L148" i="11"/>
  <c r="K148" i="11"/>
  <c r="A148" i="11"/>
  <c r="N147" i="11"/>
  <c r="L147" i="11"/>
  <c r="K147" i="11"/>
  <c r="N146" i="11"/>
  <c r="M146" i="11"/>
  <c r="L146" i="11"/>
  <c r="K146" i="11"/>
  <c r="A146" i="11"/>
  <c r="N145" i="11"/>
  <c r="L145" i="11"/>
  <c r="K145" i="11"/>
  <c r="A145" i="11"/>
  <c r="N144" i="11"/>
  <c r="M144" i="11"/>
  <c r="L144" i="11"/>
  <c r="K144" i="11"/>
  <c r="N143" i="11"/>
  <c r="L143" i="11"/>
  <c r="K143" i="11"/>
  <c r="N142" i="11"/>
  <c r="M142" i="11"/>
  <c r="L142" i="11"/>
  <c r="K142" i="11"/>
  <c r="A142" i="11"/>
  <c r="N141" i="11"/>
  <c r="L141" i="11"/>
  <c r="K141" i="11"/>
  <c r="A141" i="11"/>
  <c r="N140" i="11"/>
  <c r="M140" i="11"/>
  <c r="L140" i="11"/>
  <c r="K140" i="11"/>
  <c r="A140" i="11"/>
  <c r="N139" i="11"/>
  <c r="L139" i="11"/>
  <c r="K139" i="11"/>
  <c r="A139" i="11"/>
  <c r="N138" i="11"/>
  <c r="L138" i="11"/>
  <c r="K138" i="11"/>
  <c r="N137" i="11"/>
  <c r="L137" i="11"/>
  <c r="K137" i="11"/>
  <c r="N136" i="11"/>
  <c r="L136" i="11"/>
  <c r="K136" i="11"/>
  <c r="A136" i="11"/>
  <c r="N135" i="11"/>
  <c r="L135" i="11"/>
  <c r="K135" i="11"/>
  <c r="A135" i="11"/>
  <c r="N134" i="11"/>
  <c r="L134" i="11"/>
  <c r="K134" i="11"/>
  <c r="N133" i="11"/>
  <c r="M133" i="11"/>
  <c r="L133" i="11"/>
  <c r="K133" i="11"/>
  <c r="N132" i="11"/>
  <c r="L132" i="11"/>
  <c r="K132" i="11"/>
  <c r="A132" i="11"/>
  <c r="N131" i="11"/>
  <c r="M131" i="11"/>
  <c r="L131" i="11"/>
  <c r="K131" i="11"/>
  <c r="A131" i="11"/>
  <c r="N130" i="11"/>
  <c r="L130" i="11"/>
  <c r="K130" i="11"/>
  <c r="N129" i="11"/>
  <c r="L129" i="11"/>
  <c r="K129" i="11"/>
  <c r="N128" i="11"/>
  <c r="L128" i="11"/>
  <c r="K128" i="11"/>
  <c r="N127" i="11"/>
  <c r="L127" i="11"/>
  <c r="K127" i="11"/>
  <c r="A127" i="11"/>
  <c r="N126" i="11"/>
  <c r="L126" i="11"/>
  <c r="K126" i="11"/>
  <c r="A126" i="11"/>
  <c r="N125" i="11"/>
  <c r="M125" i="11"/>
  <c r="L125" i="11"/>
  <c r="K125" i="11"/>
  <c r="A125" i="11"/>
  <c r="N124" i="11"/>
  <c r="M124" i="11"/>
  <c r="L124" i="11"/>
  <c r="K124" i="11"/>
  <c r="A124" i="11"/>
  <c r="N123" i="11"/>
  <c r="M123" i="11"/>
  <c r="L123" i="11"/>
  <c r="K123" i="11"/>
  <c r="A123" i="11"/>
  <c r="N122" i="11"/>
  <c r="L122" i="11"/>
  <c r="K122" i="11"/>
  <c r="N121" i="11"/>
  <c r="M121" i="11"/>
  <c r="L121" i="11"/>
  <c r="K121" i="11"/>
  <c r="N120" i="11"/>
  <c r="K120" i="11"/>
  <c r="N119" i="11"/>
  <c r="L119" i="11"/>
  <c r="K119" i="11"/>
  <c r="A119" i="11"/>
  <c r="N118" i="11"/>
  <c r="L118" i="11"/>
  <c r="K118" i="11"/>
  <c r="N117" i="11"/>
  <c r="L117" i="11"/>
  <c r="K117" i="11"/>
  <c r="N116" i="11"/>
  <c r="L116" i="11"/>
  <c r="K116" i="11"/>
  <c r="A116" i="11"/>
  <c r="N115" i="11"/>
  <c r="L115" i="11"/>
  <c r="K115" i="11"/>
  <c r="A115" i="11"/>
  <c r="N114" i="11"/>
  <c r="L114" i="11"/>
  <c r="K114" i="11"/>
  <c r="A114" i="11"/>
  <c r="N113" i="11"/>
  <c r="L113" i="11"/>
  <c r="K113" i="11"/>
  <c r="N112" i="11"/>
  <c r="L112" i="11"/>
  <c r="K112" i="11"/>
  <c r="A112" i="11"/>
  <c r="N111" i="11"/>
  <c r="L111" i="11"/>
  <c r="K111" i="11"/>
  <c r="A111" i="11"/>
  <c r="N110" i="11"/>
  <c r="M110" i="11"/>
  <c r="L110" i="11"/>
  <c r="N109" i="11"/>
  <c r="M109" i="11"/>
  <c r="L109" i="11"/>
  <c r="K109" i="11"/>
  <c r="A109" i="11"/>
  <c r="N108" i="11"/>
  <c r="M108" i="11"/>
  <c r="L108" i="11"/>
  <c r="K108" i="11"/>
  <c r="A108" i="11"/>
  <c r="N107" i="11"/>
  <c r="M107" i="11"/>
  <c r="L107" i="11"/>
  <c r="K107" i="11"/>
  <c r="N106" i="11"/>
  <c r="M106" i="11"/>
  <c r="L106" i="11"/>
  <c r="K106" i="11"/>
  <c r="A106" i="11"/>
  <c r="N105" i="11"/>
  <c r="L105" i="11"/>
  <c r="K105" i="11"/>
  <c r="A105" i="11"/>
  <c r="N104" i="11"/>
  <c r="M104" i="11"/>
  <c r="L104" i="11"/>
  <c r="K104" i="11"/>
  <c r="N103" i="11"/>
  <c r="M103" i="11"/>
  <c r="L103" i="11"/>
  <c r="K103" i="11"/>
  <c r="N102" i="11"/>
  <c r="M102" i="11"/>
  <c r="L102" i="11"/>
  <c r="K102" i="11"/>
  <c r="A102" i="11"/>
  <c r="N101" i="11"/>
  <c r="M101" i="11"/>
  <c r="L101" i="11"/>
  <c r="K101" i="11"/>
  <c r="A101" i="11"/>
  <c r="N100" i="11"/>
  <c r="M100" i="11"/>
  <c r="L100" i="11"/>
  <c r="K100" i="11"/>
  <c r="N99" i="11"/>
  <c r="M99" i="11"/>
  <c r="L99" i="11"/>
  <c r="K99" i="11"/>
  <c r="A99" i="11"/>
  <c r="N98" i="11"/>
  <c r="M98" i="11"/>
  <c r="L98" i="11"/>
  <c r="K98" i="11"/>
  <c r="A98" i="11"/>
  <c r="N97" i="11"/>
  <c r="M97" i="11"/>
  <c r="L97" i="11"/>
  <c r="K97" i="11"/>
  <c r="A97" i="11"/>
  <c r="N96" i="11"/>
  <c r="M96" i="11"/>
  <c r="L96" i="11"/>
  <c r="K96" i="11"/>
  <c r="N95" i="11"/>
  <c r="M95" i="11"/>
  <c r="L95" i="11"/>
  <c r="K95" i="11"/>
  <c r="N94" i="11"/>
  <c r="M94" i="11"/>
  <c r="L94" i="11"/>
  <c r="K94" i="11"/>
  <c r="A94" i="11"/>
  <c r="N93" i="11"/>
  <c r="M93" i="11"/>
  <c r="L93" i="11"/>
  <c r="K93" i="11"/>
  <c r="A93" i="11"/>
  <c r="N92" i="11"/>
  <c r="M92" i="11"/>
  <c r="L92" i="11"/>
  <c r="K92" i="11"/>
  <c r="N91" i="11"/>
  <c r="M91" i="11"/>
  <c r="L91" i="11"/>
  <c r="K91" i="11"/>
  <c r="A91" i="11"/>
  <c r="N90" i="11"/>
  <c r="M90" i="11"/>
  <c r="L90" i="11"/>
  <c r="K90" i="11"/>
  <c r="A90" i="11"/>
  <c r="N89" i="11"/>
  <c r="M89" i="11"/>
  <c r="L89" i="11"/>
  <c r="K89" i="11"/>
  <c r="A89" i="11"/>
  <c r="N88" i="11"/>
  <c r="L88" i="11"/>
  <c r="K88" i="11"/>
  <c r="A88" i="11"/>
  <c r="N87" i="11"/>
  <c r="M87" i="11"/>
  <c r="L87" i="11"/>
  <c r="K87" i="11"/>
  <c r="N86" i="11"/>
  <c r="M86" i="11"/>
  <c r="L86" i="11"/>
  <c r="K86" i="11"/>
  <c r="A86" i="11"/>
  <c r="N85" i="11"/>
  <c r="M85" i="11"/>
  <c r="L85" i="11"/>
  <c r="K85" i="11"/>
  <c r="N84" i="11"/>
  <c r="M84" i="11"/>
  <c r="L84" i="11"/>
  <c r="K84" i="11"/>
  <c r="L83" i="11"/>
  <c r="N82" i="11"/>
  <c r="M82" i="11"/>
  <c r="L82" i="11"/>
  <c r="K82" i="11"/>
  <c r="A82" i="11"/>
  <c r="N78" i="11"/>
  <c r="M78" i="11"/>
  <c r="L78" i="11"/>
  <c r="K78" i="11"/>
  <c r="A78" i="11"/>
  <c r="N69" i="11"/>
  <c r="M69" i="11"/>
  <c r="L69" i="11"/>
  <c r="K69" i="11"/>
  <c r="N66" i="11"/>
  <c r="M66" i="11"/>
  <c r="L66" i="11"/>
  <c r="K66" i="11"/>
  <c r="A66" i="11"/>
  <c r="N54" i="11"/>
  <c r="M54" i="11"/>
  <c r="L54" i="11"/>
  <c r="K54" i="11"/>
  <c r="A54" i="11"/>
  <c r="N46" i="11"/>
  <c r="M46" i="11"/>
  <c r="L46" i="11"/>
  <c r="K46" i="11"/>
  <c r="N41" i="11"/>
  <c r="L41" i="11"/>
  <c r="K41" i="11"/>
  <c r="N29" i="11"/>
  <c r="M29" i="11"/>
  <c r="L29" i="11"/>
  <c r="K29" i="11"/>
  <c r="N28" i="11"/>
  <c r="A28" i="11"/>
  <c r="N19" i="11"/>
  <c r="M19" i="11"/>
  <c r="L19" i="11"/>
  <c r="K19" i="11"/>
  <c r="N13" i="11"/>
  <c r="M13" i="11"/>
  <c r="L13" i="11"/>
  <c r="K13" i="11"/>
  <c r="N151" i="10"/>
  <c r="L151" i="10"/>
  <c r="N150" i="10"/>
  <c r="L150" i="10"/>
  <c r="N149" i="10"/>
  <c r="L149" i="10"/>
  <c r="N148" i="10"/>
  <c r="L148" i="10"/>
  <c r="K148" i="10"/>
  <c r="A148" i="10"/>
  <c r="N147" i="10"/>
  <c r="L147" i="10"/>
  <c r="K147" i="10"/>
  <c r="N146" i="10"/>
  <c r="M146" i="10"/>
  <c r="L146" i="10"/>
  <c r="K146" i="10"/>
  <c r="A146" i="10"/>
  <c r="N145" i="10"/>
  <c r="L145" i="10"/>
  <c r="K145" i="10"/>
  <c r="A145" i="10"/>
  <c r="N144" i="10"/>
  <c r="M144" i="10"/>
  <c r="L144" i="10"/>
  <c r="K144" i="10"/>
  <c r="N143" i="10"/>
  <c r="L143" i="10"/>
  <c r="K143" i="10"/>
  <c r="N142" i="10"/>
  <c r="M142" i="10"/>
  <c r="L142" i="10"/>
  <c r="K142" i="10"/>
  <c r="A142" i="10"/>
  <c r="N141" i="10"/>
  <c r="L141" i="10"/>
  <c r="K141" i="10"/>
  <c r="A141" i="10"/>
  <c r="N140" i="10"/>
  <c r="M140" i="10"/>
  <c r="L140" i="10"/>
  <c r="K140" i="10"/>
  <c r="A140" i="10"/>
  <c r="N139" i="10"/>
  <c r="L139" i="10"/>
  <c r="K139" i="10"/>
  <c r="A139" i="10"/>
  <c r="N138" i="10"/>
  <c r="L138" i="10"/>
  <c r="K138" i="10"/>
  <c r="N137" i="10"/>
  <c r="L137" i="10"/>
  <c r="K137" i="10"/>
  <c r="N136" i="10"/>
  <c r="L136" i="10"/>
  <c r="K136" i="10"/>
  <c r="A136" i="10"/>
  <c r="N135" i="10"/>
  <c r="L135" i="10"/>
  <c r="K135" i="10"/>
  <c r="A135" i="10"/>
  <c r="N134" i="10"/>
  <c r="L134" i="10"/>
  <c r="K134" i="10"/>
  <c r="N133" i="10"/>
  <c r="M133" i="10"/>
  <c r="L133" i="10"/>
  <c r="K133" i="10"/>
  <c r="N132" i="10"/>
  <c r="L132" i="10"/>
  <c r="K132" i="10"/>
  <c r="A132" i="10"/>
  <c r="N131" i="10"/>
  <c r="M131" i="10"/>
  <c r="L131" i="10"/>
  <c r="K131" i="10"/>
  <c r="A131" i="10"/>
  <c r="N130" i="10"/>
  <c r="L130" i="10"/>
  <c r="K130" i="10"/>
  <c r="N129" i="10"/>
  <c r="L129" i="10"/>
  <c r="K129" i="10"/>
  <c r="N128" i="10"/>
  <c r="L128" i="10"/>
  <c r="K128" i="10"/>
  <c r="N127" i="10"/>
  <c r="L127" i="10"/>
  <c r="K127" i="10"/>
  <c r="A127" i="10"/>
  <c r="N126" i="10"/>
  <c r="L126" i="10"/>
  <c r="K126" i="10"/>
  <c r="A126" i="10"/>
  <c r="N125" i="10"/>
  <c r="M125" i="10"/>
  <c r="L125" i="10"/>
  <c r="K125" i="10"/>
  <c r="A125" i="10"/>
  <c r="N124" i="10"/>
  <c r="M124" i="10"/>
  <c r="L124" i="10"/>
  <c r="K124" i="10"/>
  <c r="A124" i="10"/>
  <c r="N123" i="10"/>
  <c r="M123" i="10"/>
  <c r="L123" i="10"/>
  <c r="K123" i="10"/>
  <c r="A123" i="10"/>
  <c r="N122" i="10"/>
  <c r="L122" i="10"/>
  <c r="K122" i="10"/>
  <c r="N121" i="10"/>
  <c r="M121" i="10"/>
  <c r="L121" i="10"/>
  <c r="K121" i="10"/>
  <c r="N120" i="10"/>
  <c r="K120" i="10"/>
  <c r="N119" i="10"/>
  <c r="M119" i="10"/>
  <c r="L119" i="10"/>
  <c r="K119" i="10"/>
  <c r="A119" i="10"/>
  <c r="N118" i="10"/>
  <c r="L118" i="10"/>
  <c r="K118" i="10"/>
  <c r="N117" i="10"/>
  <c r="L117" i="10"/>
  <c r="K117" i="10"/>
  <c r="N116" i="10"/>
  <c r="L116" i="10"/>
  <c r="K116" i="10"/>
  <c r="A116" i="10"/>
  <c r="N115" i="10"/>
  <c r="L115" i="10"/>
  <c r="K115" i="10"/>
  <c r="A115" i="10"/>
  <c r="N114" i="10"/>
  <c r="L114" i="10"/>
  <c r="K114" i="10"/>
  <c r="A114" i="10"/>
  <c r="N113" i="10"/>
  <c r="L113" i="10"/>
  <c r="K113" i="10"/>
  <c r="N112" i="10"/>
  <c r="L112" i="10"/>
  <c r="K112" i="10"/>
  <c r="A112" i="10"/>
  <c r="N111" i="10"/>
  <c r="L111" i="10"/>
  <c r="K111" i="10"/>
  <c r="A111" i="10"/>
  <c r="N110" i="10"/>
  <c r="M110" i="10"/>
  <c r="L110" i="10"/>
  <c r="N109" i="10"/>
  <c r="M109" i="10"/>
  <c r="L109" i="10"/>
  <c r="K109" i="10"/>
  <c r="A109" i="10"/>
  <c r="N108" i="10"/>
  <c r="L108" i="10"/>
  <c r="K108" i="10"/>
  <c r="A108" i="10"/>
  <c r="N107" i="10"/>
  <c r="M107" i="10"/>
  <c r="L107" i="10"/>
  <c r="K107" i="10"/>
  <c r="N106" i="10"/>
  <c r="M106" i="10"/>
  <c r="L106" i="10"/>
  <c r="K106" i="10"/>
  <c r="A106" i="10"/>
  <c r="N105" i="10"/>
  <c r="L105" i="10"/>
  <c r="K105" i="10"/>
  <c r="A105" i="10"/>
  <c r="N104" i="10"/>
  <c r="M104" i="10"/>
  <c r="L104" i="10"/>
  <c r="K104" i="10"/>
  <c r="N103" i="10"/>
  <c r="M103" i="10"/>
  <c r="L103" i="10"/>
  <c r="K103" i="10"/>
  <c r="N102" i="10"/>
  <c r="M102" i="10"/>
  <c r="L102" i="10"/>
  <c r="K102" i="10"/>
  <c r="A102" i="10"/>
  <c r="N101" i="10"/>
  <c r="M101" i="10"/>
  <c r="L101" i="10"/>
  <c r="K101" i="10"/>
  <c r="A101" i="10"/>
  <c r="N100" i="10"/>
  <c r="M100" i="10"/>
  <c r="L100" i="10"/>
  <c r="K100" i="10"/>
  <c r="N99" i="10"/>
  <c r="M99" i="10"/>
  <c r="L99" i="10"/>
  <c r="K99" i="10"/>
  <c r="A99" i="10"/>
  <c r="N98" i="10"/>
  <c r="M98" i="10"/>
  <c r="L98" i="10"/>
  <c r="K98" i="10"/>
  <c r="A98" i="10"/>
  <c r="N97" i="10"/>
  <c r="M97" i="10"/>
  <c r="L97" i="10"/>
  <c r="K97" i="10"/>
  <c r="A97" i="10"/>
  <c r="N96" i="10"/>
  <c r="M96" i="10"/>
  <c r="L96" i="10"/>
  <c r="K96" i="10"/>
  <c r="N95" i="10"/>
  <c r="M95" i="10"/>
  <c r="L95" i="10"/>
  <c r="K95" i="10"/>
  <c r="N94" i="10"/>
  <c r="M94" i="10"/>
  <c r="L94" i="10"/>
  <c r="K94" i="10"/>
  <c r="A94" i="10"/>
  <c r="N93" i="10"/>
  <c r="M93" i="10"/>
  <c r="L93" i="10"/>
  <c r="K93" i="10"/>
  <c r="A93" i="10"/>
  <c r="N92" i="10"/>
  <c r="M92" i="10"/>
  <c r="L92" i="10"/>
  <c r="K92" i="10"/>
  <c r="N91" i="10"/>
  <c r="M91" i="10"/>
  <c r="L91" i="10"/>
  <c r="K91" i="10"/>
  <c r="A91" i="10"/>
  <c r="N90" i="10"/>
  <c r="M90" i="10"/>
  <c r="L90" i="10"/>
  <c r="K90" i="10"/>
  <c r="A90" i="10"/>
  <c r="N89" i="10"/>
  <c r="M89" i="10"/>
  <c r="L89" i="10"/>
  <c r="K89" i="10"/>
  <c r="A89" i="10"/>
  <c r="N88" i="10"/>
  <c r="L88" i="10"/>
  <c r="K88" i="10"/>
  <c r="A88" i="10"/>
  <c r="N87" i="10"/>
  <c r="M87" i="10"/>
  <c r="L87" i="10"/>
  <c r="K87" i="10"/>
  <c r="N86" i="10"/>
  <c r="M86" i="10"/>
  <c r="L86" i="10"/>
  <c r="K86" i="10"/>
  <c r="A86" i="10"/>
  <c r="N85" i="10"/>
  <c r="M85" i="10"/>
  <c r="L85" i="10"/>
  <c r="K85" i="10"/>
  <c r="N84" i="10"/>
  <c r="M84" i="10"/>
  <c r="L84" i="10"/>
  <c r="K84" i="10"/>
  <c r="L83" i="10"/>
  <c r="N82" i="10"/>
  <c r="M82" i="10"/>
  <c r="L82" i="10"/>
  <c r="K82" i="10"/>
  <c r="A82" i="10"/>
  <c r="N75" i="10"/>
  <c r="M75" i="10"/>
  <c r="L75" i="10"/>
  <c r="K75" i="10"/>
  <c r="A75" i="10"/>
  <c r="N57" i="10"/>
  <c r="M57" i="10"/>
  <c r="L57" i="10"/>
  <c r="K57" i="10"/>
  <c r="N49" i="10"/>
  <c r="M49" i="10"/>
  <c r="L49" i="10"/>
  <c r="K49" i="10"/>
  <c r="A49" i="10"/>
  <c r="N44" i="10"/>
  <c r="A44" i="10"/>
  <c r="N38" i="10"/>
  <c r="M38" i="10"/>
  <c r="L38" i="10"/>
  <c r="K38" i="10"/>
  <c r="N20" i="10"/>
  <c r="L20" i="10"/>
  <c r="K20" i="10"/>
  <c r="N18" i="10"/>
  <c r="M18" i="10"/>
  <c r="L18" i="10"/>
  <c r="K18" i="10"/>
  <c r="N9" i="10"/>
  <c r="M9" i="10"/>
  <c r="L9" i="10"/>
  <c r="K9" i="10"/>
  <c r="A9" i="10"/>
  <c r="N5" i="10"/>
  <c r="M5" i="10"/>
  <c r="L5" i="10"/>
  <c r="K5" i="10"/>
  <c r="N3" i="10"/>
  <c r="M3" i="10"/>
  <c r="L3" i="10"/>
  <c r="K3" i="10"/>
  <c r="A3" i="10"/>
  <c r="A15" i="9"/>
  <c r="A14" i="9"/>
  <c r="A13" i="9"/>
  <c r="A11" i="9"/>
  <c r="A10" i="9"/>
  <c r="A8" i="9"/>
  <c r="N130" i="8"/>
  <c r="L130" i="8"/>
  <c r="N129" i="8"/>
  <c r="L129" i="8"/>
  <c r="N128" i="8"/>
  <c r="L128" i="8"/>
  <c r="N127" i="8"/>
  <c r="L127" i="8"/>
  <c r="K127" i="8"/>
  <c r="A127" i="8"/>
  <c r="N126" i="8"/>
  <c r="L126" i="8"/>
  <c r="K126" i="8"/>
  <c r="N125" i="8"/>
  <c r="M125" i="8"/>
  <c r="L125" i="8"/>
  <c r="K125" i="8"/>
  <c r="A125" i="8"/>
  <c r="N124" i="8"/>
  <c r="L124" i="8"/>
  <c r="K124" i="8"/>
  <c r="A124" i="8"/>
  <c r="N123" i="8"/>
  <c r="M123" i="8"/>
  <c r="L123" i="8"/>
  <c r="K123" i="8"/>
  <c r="N122" i="8"/>
  <c r="L122" i="8"/>
  <c r="K122" i="8"/>
  <c r="N121" i="8"/>
  <c r="M121" i="8"/>
  <c r="L121" i="8"/>
  <c r="K121" i="8"/>
  <c r="A121" i="8"/>
  <c r="N120" i="8"/>
  <c r="L120" i="8"/>
  <c r="K120" i="8"/>
  <c r="A120" i="8"/>
  <c r="N119" i="8"/>
  <c r="M119" i="8"/>
  <c r="L119" i="8"/>
  <c r="K119" i="8"/>
  <c r="A119" i="8"/>
  <c r="N118" i="8"/>
  <c r="L118" i="8"/>
  <c r="K118" i="8"/>
  <c r="A118" i="8"/>
  <c r="N117" i="8"/>
  <c r="L117" i="8"/>
  <c r="K117" i="8"/>
  <c r="N116" i="8"/>
  <c r="L116" i="8"/>
  <c r="K116" i="8"/>
  <c r="N115" i="8"/>
  <c r="L115" i="8"/>
  <c r="K115" i="8"/>
  <c r="A115" i="8"/>
  <c r="N114" i="8"/>
  <c r="L114" i="8"/>
  <c r="K114" i="8"/>
  <c r="A114" i="8"/>
  <c r="N113" i="8"/>
  <c r="L113" i="8"/>
  <c r="K113" i="8"/>
  <c r="N112" i="8"/>
  <c r="M112" i="8"/>
  <c r="L112" i="8"/>
  <c r="K112" i="8"/>
  <c r="N111" i="8"/>
  <c r="L111" i="8"/>
  <c r="K111" i="8"/>
  <c r="A111" i="8"/>
  <c r="N110" i="8"/>
  <c r="M110" i="8"/>
  <c r="L110" i="8"/>
  <c r="K110" i="8"/>
  <c r="A110" i="8"/>
  <c r="N109" i="8"/>
  <c r="L109" i="8"/>
  <c r="K109" i="8"/>
  <c r="N108" i="8"/>
  <c r="L108" i="8"/>
  <c r="K108" i="8"/>
  <c r="N107" i="8"/>
  <c r="L107" i="8"/>
  <c r="K107" i="8"/>
  <c r="N106" i="8"/>
  <c r="L106" i="8"/>
  <c r="K106" i="8"/>
  <c r="A106" i="8"/>
  <c r="N105" i="8"/>
  <c r="L105" i="8"/>
  <c r="K105" i="8"/>
  <c r="A105" i="8"/>
  <c r="N104" i="8"/>
  <c r="M104" i="8"/>
  <c r="L104" i="8"/>
  <c r="K104" i="8"/>
  <c r="A104" i="8"/>
  <c r="N103" i="8"/>
  <c r="M103" i="8"/>
  <c r="L103" i="8"/>
  <c r="K103" i="8"/>
  <c r="A103" i="8"/>
  <c r="N102" i="8"/>
  <c r="M102" i="8"/>
  <c r="L102" i="8"/>
  <c r="K102" i="8"/>
  <c r="A102" i="8"/>
  <c r="N101" i="8"/>
  <c r="L101" i="8"/>
  <c r="K101" i="8"/>
  <c r="N100" i="8"/>
  <c r="M100" i="8"/>
  <c r="L100" i="8"/>
  <c r="K100" i="8"/>
  <c r="N99" i="8"/>
  <c r="K99" i="8"/>
  <c r="N98" i="8"/>
  <c r="L98" i="8"/>
  <c r="K98" i="8"/>
  <c r="A98" i="8"/>
  <c r="N97" i="8"/>
  <c r="L97" i="8"/>
  <c r="K97" i="8"/>
  <c r="N96" i="8"/>
  <c r="L96" i="8"/>
  <c r="K96" i="8"/>
  <c r="N95" i="8"/>
  <c r="L95" i="8"/>
  <c r="K95" i="8"/>
  <c r="A95" i="8"/>
  <c r="N94" i="8"/>
  <c r="L94" i="8"/>
  <c r="K94" i="8"/>
  <c r="A94" i="8"/>
  <c r="N93" i="8"/>
  <c r="L93" i="8"/>
  <c r="K93" i="8"/>
  <c r="A93" i="8"/>
  <c r="N92" i="8"/>
  <c r="L92" i="8"/>
  <c r="K92" i="8"/>
  <c r="N91" i="8"/>
  <c r="L91" i="8"/>
  <c r="K91" i="8"/>
  <c r="A91" i="8"/>
  <c r="N90" i="8"/>
  <c r="L90" i="8"/>
  <c r="K90" i="8"/>
  <c r="A90" i="8"/>
  <c r="N89" i="8"/>
  <c r="M89" i="8"/>
  <c r="L89" i="8"/>
  <c r="N88" i="8"/>
  <c r="M88" i="8"/>
  <c r="L88" i="8"/>
  <c r="K88" i="8"/>
  <c r="A88" i="8"/>
  <c r="N87" i="8"/>
  <c r="M87" i="8"/>
  <c r="L87" i="8"/>
  <c r="K87" i="8"/>
  <c r="A87" i="8"/>
  <c r="N86" i="8"/>
  <c r="M86" i="8"/>
  <c r="L86" i="8"/>
  <c r="K86" i="8"/>
  <c r="N85" i="8"/>
  <c r="M85" i="8"/>
  <c r="L85" i="8"/>
  <c r="K85" i="8"/>
  <c r="A85" i="8"/>
  <c r="N84" i="8"/>
  <c r="L84" i="8"/>
  <c r="K84" i="8"/>
  <c r="A84" i="8"/>
  <c r="N83" i="8"/>
  <c r="M83" i="8"/>
  <c r="L83" i="8"/>
  <c r="K83" i="8"/>
  <c r="N82" i="8"/>
  <c r="M82" i="8"/>
  <c r="L82" i="8"/>
  <c r="K82" i="8"/>
  <c r="N81" i="8"/>
  <c r="M81" i="8"/>
  <c r="L81" i="8"/>
  <c r="K81" i="8"/>
  <c r="A81" i="8"/>
  <c r="N80" i="8"/>
  <c r="M80" i="8"/>
  <c r="L80" i="8"/>
  <c r="K80" i="8"/>
  <c r="A80" i="8"/>
  <c r="N79" i="8"/>
  <c r="M79" i="8"/>
  <c r="L79" i="8"/>
  <c r="K79" i="8"/>
  <c r="N76" i="8"/>
  <c r="M76" i="8"/>
  <c r="L76" i="8"/>
  <c r="K76" i="8"/>
  <c r="A76" i="8"/>
  <c r="N73" i="8"/>
  <c r="M73" i="8"/>
  <c r="L73" i="8"/>
  <c r="K73" i="8"/>
  <c r="A73" i="8"/>
  <c r="N71" i="8"/>
  <c r="M71" i="8"/>
  <c r="L71" i="8"/>
  <c r="K71" i="8"/>
  <c r="A71" i="8"/>
  <c r="N70" i="8"/>
  <c r="M70" i="8"/>
  <c r="L70" i="8"/>
  <c r="K70" i="8"/>
  <c r="N65" i="8"/>
  <c r="M65" i="8"/>
  <c r="L65" i="8"/>
  <c r="K65" i="8"/>
  <c r="N64" i="8"/>
  <c r="M64" i="8"/>
  <c r="L64" i="8"/>
  <c r="K64" i="8"/>
  <c r="A64" i="8"/>
  <c r="N62" i="8"/>
  <c r="M62" i="8"/>
  <c r="L62" i="8"/>
  <c r="K62" i="8"/>
  <c r="A62" i="8"/>
  <c r="N61" i="8"/>
  <c r="M61" i="8"/>
  <c r="L61" i="8"/>
  <c r="K61" i="8"/>
  <c r="N60" i="8"/>
  <c r="M60" i="8"/>
  <c r="L60" i="8"/>
  <c r="K60" i="8"/>
  <c r="A60" i="8"/>
  <c r="N59" i="8"/>
  <c r="M59" i="8"/>
  <c r="L59" i="8"/>
  <c r="K59" i="8"/>
  <c r="A59" i="8"/>
  <c r="N56" i="8"/>
  <c r="M56" i="8"/>
  <c r="L56" i="8"/>
  <c r="K56" i="8"/>
  <c r="A56" i="8"/>
  <c r="N55" i="8"/>
  <c r="L55" i="8"/>
  <c r="K55" i="8"/>
  <c r="A55" i="8"/>
  <c r="N53" i="8"/>
  <c r="M53" i="8"/>
  <c r="L53" i="8"/>
  <c r="K53" i="8"/>
  <c r="N50" i="8"/>
  <c r="M50" i="8"/>
  <c r="L50" i="8"/>
  <c r="K50" i="8"/>
  <c r="A50" i="8"/>
  <c r="N42" i="8"/>
  <c r="M42" i="8"/>
  <c r="L42" i="8"/>
  <c r="K42" i="8"/>
  <c r="N40" i="8"/>
  <c r="M40" i="8"/>
  <c r="L40" i="8"/>
  <c r="K40" i="8"/>
  <c r="L36" i="8"/>
  <c r="N34" i="8"/>
  <c r="M34" i="8"/>
  <c r="L34" i="8"/>
  <c r="K34" i="8"/>
  <c r="A34" i="8"/>
  <c r="N33" i="8"/>
  <c r="M33" i="8"/>
  <c r="L33" i="8"/>
  <c r="K33" i="8"/>
  <c r="A33" i="8"/>
  <c r="N31" i="8"/>
  <c r="M31" i="8"/>
  <c r="L31" i="8"/>
  <c r="K31" i="8"/>
  <c r="N27" i="8"/>
  <c r="M27" i="8"/>
  <c r="L27" i="8"/>
  <c r="K27" i="8"/>
  <c r="A27" i="8"/>
  <c r="N26" i="8"/>
  <c r="M26" i="8"/>
  <c r="L26" i="8"/>
  <c r="K26" i="8"/>
  <c r="A26" i="8"/>
  <c r="N25" i="8"/>
  <c r="M25" i="8"/>
  <c r="L25" i="8"/>
  <c r="K25" i="8"/>
  <c r="N24" i="8"/>
  <c r="L24" i="8"/>
  <c r="K24" i="8"/>
  <c r="N21" i="8"/>
  <c r="M21" i="8"/>
  <c r="L21" i="8"/>
  <c r="K21" i="8"/>
  <c r="N11" i="8"/>
  <c r="A11" i="8"/>
  <c r="N10" i="8"/>
  <c r="M10" i="8"/>
  <c r="L10" i="8"/>
  <c r="K10" i="8"/>
  <c r="N4" i="8"/>
  <c r="M4" i="8"/>
  <c r="L4" i="8"/>
  <c r="K4" i="8"/>
  <c r="A127" i="7"/>
  <c r="A115" i="7"/>
  <c r="A114" i="7"/>
  <c r="A113" i="7"/>
  <c r="A112" i="7"/>
  <c r="A111" i="7"/>
  <c r="A110" i="7"/>
  <c r="A109" i="7"/>
  <c r="A106" i="7"/>
  <c r="B103" i="7"/>
  <c r="N82" i="7"/>
  <c r="L82" i="7"/>
  <c r="N81" i="7"/>
  <c r="L81" i="7"/>
  <c r="N80" i="7"/>
  <c r="L80" i="7"/>
  <c r="N79" i="7"/>
  <c r="L79" i="7"/>
  <c r="K79" i="7"/>
  <c r="A79" i="7"/>
  <c r="N78" i="7"/>
  <c r="L78" i="7"/>
  <c r="K78" i="7"/>
  <c r="N77" i="7"/>
  <c r="M77" i="7"/>
  <c r="L77" i="7"/>
  <c r="K77" i="7"/>
  <c r="A77" i="7"/>
  <c r="N76" i="7"/>
  <c r="L76" i="7"/>
  <c r="K76" i="7"/>
  <c r="A76" i="7"/>
  <c r="N75" i="7"/>
  <c r="M75" i="7"/>
  <c r="L75" i="7"/>
  <c r="K75" i="7"/>
  <c r="N74" i="7"/>
  <c r="L74" i="7"/>
  <c r="K74" i="7"/>
  <c r="N73" i="7"/>
  <c r="M73" i="7"/>
  <c r="L73" i="7"/>
  <c r="K73" i="7"/>
  <c r="A73" i="7"/>
  <c r="N72" i="7"/>
  <c r="L72" i="7"/>
  <c r="K72" i="7"/>
  <c r="A72" i="7"/>
  <c r="N71" i="7"/>
  <c r="M71" i="7"/>
  <c r="L71" i="7"/>
  <c r="K71" i="7"/>
  <c r="A71" i="7"/>
  <c r="N70" i="7"/>
  <c r="L70" i="7"/>
  <c r="K70" i="7"/>
  <c r="A70" i="7"/>
  <c r="N69" i="7"/>
  <c r="L69" i="7"/>
  <c r="K69" i="7"/>
  <c r="N68" i="7"/>
  <c r="L68" i="7"/>
  <c r="K68" i="7"/>
  <c r="N67" i="7"/>
  <c r="L67" i="7"/>
  <c r="K67" i="7"/>
  <c r="A67" i="7"/>
  <c r="N66" i="7"/>
  <c r="L66" i="7"/>
  <c r="K66" i="7"/>
  <c r="A66" i="7"/>
  <c r="N65" i="7"/>
  <c r="L65" i="7"/>
  <c r="K65" i="7"/>
  <c r="N64" i="7"/>
  <c r="M64" i="7"/>
  <c r="L64" i="7"/>
  <c r="K64" i="7"/>
  <c r="N63" i="7"/>
  <c r="L63" i="7"/>
  <c r="K63" i="7"/>
  <c r="A63" i="7"/>
  <c r="N62" i="7"/>
  <c r="M62" i="7"/>
  <c r="L62" i="7"/>
  <c r="K62" i="7"/>
  <c r="A62" i="7"/>
  <c r="N61" i="7"/>
  <c r="L61" i="7"/>
  <c r="K61" i="7"/>
  <c r="N60" i="7"/>
  <c r="L60" i="7"/>
  <c r="K60" i="7"/>
  <c r="N59" i="7"/>
  <c r="L59" i="7"/>
  <c r="K59" i="7"/>
  <c r="N58" i="7"/>
  <c r="L58" i="7"/>
  <c r="K58" i="7"/>
  <c r="A58" i="7"/>
  <c r="N57" i="7"/>
  <c r="L57" i="7"/>
  <c r="K57" i="7"/>
  <c r="A57" i="7"/>
  <c r="N56" i="7"/>
  <c r="M56" i="7"/>
  <c r="L56" i="7"/>
  <c r="K56" i="7"/>
  <c r="A56" i="7"/>
  <c r="N55" i="7"/>
  <c r="M55" i="7"/>
  <c r="L55" i="7"/>
  <c r="K55" i="7"/>
  <c r="A55" i="7"/>
  <c r="N54" i="7"/>
  <c r="M54" i="7"/>
  <c r="L54" i="7"/>
  <c r="K54" i="7"/>
  <c r="A54" i="7"/>
  <c r="N53" i="7"/>
  <c r="L53" i="7"/>
  <c r="K53" i="7"/>
  <c r="N52" i="7"/>
  <c r="M52" i="7"/>
  <c r="L52" i="7"/>
  <c r="K52" i="7"/>
  <c r="N51" i="7"/>
  <c r="K51" i="7"/>
  <c r="N50" i="7"/>
  <c r="L50" i="7"/>
  <c r="K50" i="7"/>
  <c r="A50" i="7"/>
  <c r="N49" i="7"/>
  <c r="L49" i="7"/>
  <c r="K49" i="7"/>
  <c r="N48" i="7"/>
  <c r="L48" i="7"/>
  <c r="K48" i="7"/>
  <c r="N47" i="7"/>
  <c r="L47" i="7"/>
  <c r="K47" i="7"/>
  <c r="A47" i="7"/>
  <c r="N46" i="7"/>
  <c r="L46" i="7"/>
  <c r="K46" i="7"/>
  <c r="A46" i="7"/>
  <c r="N45" i="7"/>
  <c r="L45" i="7"/>
  <c r="K45" i="7"/>
  <c r="A45" i="7"/>
  <c r="N44" i="7"/>
  <c r="L44" i="7"/>
  <c r="K44" i="7"/>
  <c r="N43" i="7"/>
  <c r="L43" i="7"/>
  <c r="K43" i="7"/>
  <c r="A43" i="7"/>
  <c r="N42" i="7"/>
  <c r="L42" i="7"/>
  <c r="K42" i="7"/>
  <c r="A42" i="7"/>
  <c r="N41" i="7"/>
  <c r="M41" i="7"/>
  <c r="L41" i="7"/>
  <c r="N40" i="7"/>
  <c r="M40" i="7"/>
  <c r="L40" i="7"/>
  <c r="K40" i="7"/>
  <c r="A40" i="7"/>
  <c r="N39" i="7"/>
  <c r="M39" i="7"/>
  <c r="L39" i="7"/>
  <c r="K39" i="7"/>
  <c r="A39" i="7"/>
  <c r="N38" i="7"/>
  <c r="M38" i="7"/>
  <c r="L38" i="7"/>
  <c r="K38" i="7"/>
  <c r="N37" i="7"/>
  <c r="M37" i="7"/>
  <c r="L37" i="7"/>
  <c r="K37" i="7"/>
  <c r="A37" i="7"/>
  <c r="N36" i="7"/>
  <c r="L36" i="7"/>
  <c r="K36" i="7"/>
  <c r="A36" i="7"/>
  <c r="N35" i="7"/>
  <c r="M35" i="7"/>
  <c r="L35" i="7"/>
  <c r="K35" i="7"/>
  <c r="N34" i="7"/>
  <c r="M34" i="7"/>
  <c r="L34" i="7"/>
  <c r="K34" i="7"/>
  <c r="N33" i="7"/>
  <c r="M33" i="7"/>
  <c r="L33" i="7"/>
  <c r="K33" i="7"/>
  <c r="A33" i="7"/>
  <c r="N32" i="7"/>
  <c r="M32" i="7"/>
  <c r="L32" i="7"/>
  <c r="K32" i="7"/>
  <c r="A32" i="7"/>
  <c r="N31" i="7"/>
  <c r="M31" i="7"/>
  <c r="L31" i="7"/>
  <c r="K31" i="7"/>
  <c r="N30" i="7"/>
  <c r="M30" i="7"/>
  <c r="L30" i="7"/>
  <c r="K30" i="7"/>
  <c r="A30" i="7"/>
  <c r="N29" i="7"/>
  <c r="M29" i="7"/>
  <c r="L29" i="7"/>
  <c r="K29" i="7"/>
  <c r="A29" i="7"/>
  <c r="N28" i="7"/>
  <c r="M28" i="7"/>
  <c r="L28" i="7"/>
  <c r="K28" i="7"/>
  <c r="A28" i="7"/>
  <c r="N27" i="7"/>
  <c r="M27" i="7"/>
  <c r="L27" i="7"/>
  <c r="K27" i="7"/>
  <c r="N26" i="7"/>
  <c r="M26" i="7"/>
  <c r="L26" i="7"/>
  <c r="K26" i="7"/>
  <c r="N25" i="7"/>
  <c r="M25" i="7"/>
  <c r="L25" i="7"/>
  <c r="K25" i="7"/>
  <c r="A25" i="7"/>
  <c r="N24" i="7"/>
  <c r="M24" i="7"/>
  <c r="L24" i="7"/>
  <c r="K24" i="7"/>
  <c r="A24" i="7"/>
  <c r="N23" i="7"/>
  <c r="M23" i="7"/>
  <c r="L23" i="7"/>
  <c r="K23" i="7"/>
  <c r="N22" i="7"/>
  <c r="M22" i="7"/>
  <c r="L22" i="7"/>
  <c r="K22" i="7"/>
  <c r="A22" i="7"/>
  <c r="N21" i="7"/>
  <c r="M21" i="7"/>
  <c r="L21" i="7"/>
  <c r="K21" i="7"/>
  <c r="A21" i="7"/>
  <c r="N20" i="7"/>
  <c r="M20" i="7"/>
  <c r="L20" i="7"/>
  <c r="K20" i="7"/>
  <c r="A20" i="7"/>
  <c r="N19" i="7"/>
  <c r="L19" i="7"/>
  <c r="K19" i="7"/>
  <c r="A19" i="7"/>
  <c r="N18" i="7"/>
  <c r="M18" i="7"/>
  <c r="L18" i="7"/>
  <c r="K18" i="7"/>
  <c r="N17" i="7"/>
  <c r="M17" i="7"/>
  <c r="L17" i="7"/>
  <c r="K17" i="7"/>
  <c r="A17" i="7"/>
  <c r="N16" i="7"/>
  <c r="M16" i="7"/>
  <c r="L16" i="7"/>
  <c r="K16" i="7"/>
  <c r="N15" i="7"/>
  <c r="M15" i="7"/>
  <c r="L15" i="7"/>
  <c r="K15" i="7"/>
  <c r="L14" i="7"/>
  <c r="N13" i="7"/>
  <c r="M13" i="7"/>
  <c r="L13" i="7"/>
  <c r="K13" i="7"/>
  <c r="A13" i="7"/>
  <c r="N12" i="7"/>
  <c r="M12" i="7"/>
  <c r="L12" i="7"/>
  <c r="K12" i="7"/>
  <c r="A12" i="7"/>
  <c r="N11" i="7"/>
  <c r="M11" i="7"/>
  <c r="L11" i="7"/>
  <c r="K11" i="7"/>
  <c r="N10" i="7"/>
  <c r="M10" i="7"/>
  <c r="L10" i="7"/>
  <c r="K10" i="7"/>
  <c r="A10" i="7"/>
  <c r="N9" i="7"/>
  <c r="M9" i="7"/>
  <c r="L9" i="7"/>
  <c r="K9" i="7"/>
  <c r="A9" i="7"/>
  <c r="N8" i="7"/>
  <c r="M8" i="7"/>
  <c r="L8" i="7"/>
  <c r="K8" i="7"/>
  <c r="N7" i="7"/>
  <c r="L7" i="7"/>
  <c r="K7" i="7"/>
  <c r="N6" i="7"/>
  <c r="M6" i="7"/>
  <c r="L6" i="7"/>
  <c r="K6" i="7"/>
  <c r="N5" i="7"/>
  <c r="A5" i="7"/>
  <c r="N4" i="7"/>
  <c r="M4" i="7"/>
  <c r="L4" i="7"/>
  <c r="K4" i="7"/>
  <c r="N3" i="7"/>
  <c r="M3" i="7"/>
  <c r="L3" i="7"/>
  <c r="K3" i="7"/>
  <c r="A3" i="7"/>
  <c r="N153" i="5"/>
  <c r="L153" i="5"/>
  <c r="N152" i="5"/>
  <c r="L152" i="5"/>
  <c r="N151" i="5"/>
  <c r="L151" i="5"/>
  <c r="N150" i="5"/>
  <c r="L150" i="5"/>
  <c r="K150" i="5"/>
  <c r="A150" i="5"/>
  <c r="N149" i="5"/>
  <c r="L149" i="5"/>
  <c r="K149" i="5"/>
  <c r="N148" i="5"/>
  <c r="M148" i="5"/>
  <c r="L148" i="5"/>
  <c r="K148" i="5"/>
  <c r="A148" i="5"/>
  <c r="N147" i="5"/>
  <c r="L147" i="5"/>
  <c r="K147" i="5"/>
  <c r="A147" i="5"/>
  <c r="N146" i="5"/>
  <c r="M146" i="5"/>
  <c r="L146" i="5"/>
  <c r="K146" i="5"/>
  <c r="N145" i="5"/>
  <c r="L145" i="5"/>
  <c r="K145" i="5"/>
  <c r="N144" i="5"/>
  <c r="M144" i="5"/>
  <c r="L144" i="5"/>
  <c r="K144" i="5"/>
  <c r="A144" i="5"/>
  <c r="N143" i="5"/>
  <c r="L143" i="5"/>
  <c r="K143" i="5"/>
  <c r="A143" i="5"/>
  <c r="N142" i="5"/>
  <c r="M142" i="5"/>
  <c r="L142" i="5"/>
  <c r="K142" i="5"/>
  <c r="A142" i="5"/>
  <c r="N141" i="5"/>
  <c r="L141" i="5"/>
  <c r="K141" i="5"/>
  <c r="A141" i="5"/>
  <c r="N140" i="5"/>
  <c r="L140" i="5"/>
  <c r="K140" i="5"/>
  <c r="N139" i="5"/>
  <c r="L139" i="5"/>
  <c r="K139" i="5"/>
  <c r="N138" i="5"/>
  <c r="L138" i="5"/>
  <c r="K138" i="5"/>
  <c r="A138" i="5"/>
  <c r="N137" i="5"/>
  <c r="L137" i="5"/>
  <c r="K137" i="5"/>
  <c r="A137" i="5"/>
  <c r="N136" i="5"/>
  <c r="L136" i="5"/>
  <c r="K136" i="5"/>
  <c r="N135" i="5"/>
  <c r="M135" i="5"/>
  <c r="L135" i="5"/>
  <c r="K135" i="5"/>
  <c r="N134" i="5"/>
  <c r="L134" i="5"/>
  <c r="K134" i="5"/>
  <c r="A134" i="5"/>
  <c r="N133" i="5"/>
  <c r="M133" i="5"/>
  <c r="L133" i="5"/>
  <c r="K133" i="5"/>
  <c r="A133" i="5"/>
  <c r="N132" i="5"/>
  <c r="L132" i="5"/>
  <c r="K132" i="5"/>
  <c r="N131" i="5"/>
  <c r="L131" i="5"/>
  <c r="K131" i="5"/>
  <c r="N130" i="5"/>
  <c r="L130" i="5"/>
  <c r="K130" i="5"/>
  <c r="N129" i="5"/>
  <c r="L129" i="5"/>
  <c r="K129" i="5"/>
  <c r="A129" i="5"/>
  <c r="N128" i="5"/>
  <c r="L128" i="5"/>
  <c r="K128" i="5"/>
  <c r="A128" i="5"/>
  <c r="N127" i="5"/>
  <c r="M127" i="5"/>
  <c r="L127" i="5"/>
  <c r="K127" i="5"/>
  <c r="A127" i="5"/>
  <c r="N126" i="5"/>
  <c r="M126" i="5"/>
  <c r="L126" i="5"/>
  <c r="K126" i="5"/>
  <c r="A126" i="5"/>
  <c r="N125" i="5"/>
  <c r="M125" i="5"/>
  <c r="L125" i="5"/>
  <c r="K125" i="5"/>
  <c r="A125" i="5"/>
  <c r="N124" i="5"/>
  <c r="L124" i="5"/>
  <c r="K124" i="5"/>
  <c r="N123" i="5"/>
  <c r="M123" i="5"/>
  <c r="L123" i="5"/>
  <c r="K123" i="5"/>
  <c r="N122" i="5"/>
  <c r="K122" i="5"/>
  <c r="N121" i="5"/>
  <c r="L121" i="5"/>
  <c r="K121" i="5"/>
  <c r="A121" i="5"/>
  <c r="N120" i="5"/>
  <c r="L120" i="5"/>
  <c r="K120" i="5"/>
  <c r="N119" i="5"/>
  <c r="L119" i="5"/>
  <c r="K119" i="5"/>
  <c r="N118" i="5"/>
  <c r="L118" i="5"/>
  <c r="K118" i="5"/>
  <c r="A118" i="5"/>
  <c r="N117" i="5"/>
  <c r="L117" i="5"/>
  <c r="K117" i="5"/>
  <c r="A117" i="5"/>
  <c r="N116" i="5"/>
  <c r="L116" i="5"/>
  <c r="K116" i="5"/>
  <c r="A116" i="5"/>
  <c r="N115" i="5"/>
  <c r="L115" i="5"/>
  <c r="K115" i="5"/>
  <c r="N114" i="5"/>
  <c r="L114" i="5"/>
  <c r="K114" i="5"/>
  <c r="A114" i="5"/>
  <c r="N113" i="5"/>
  <c r="L113" i="5"/>
  <c r="K113" i="5"/>
  <c r="A113" i="5"/>
  <c r="N112" i="5"/>
  <c r="M112" i="5"/>
  <c r="L112" i="5"/>
  <c r="N111" i="5"/>
  <c r="M111" i="5"/>
  <c r="L111" i="5"/>
  <c r="K111" i="5"/>
  <c r="A111" i="5"/>
  <c r="N110" i="5"/>
  <c r="M110" i="5"/>
  <c r="L110" i="5"/>
  <c r="K110" i="5"/>
  <c r="A110" i="5"/>
  <c r="N109" i="5"/>
  <c r="M109" i="5"/>
  <c r="L109" i="5"/>
  <c r="K109" i="5"/>
  <c r="N108" i="5"/>
  <c r="M108" i="5"/>
  <c r="L108" i="5"/>
  <c r="K108" i="5"/>
  <c r="A108" i="5"/>
  <c r="N107" i="5"/>
  <c r="L107" i="5"/>
  <c r="K107" i="5"/>
  <c r="A107" i="5"/>
  <c r="N106" i="5"/>
  <c r="M106" i="5"/>
  <c r="L106" i="5"/>
  <c r="K106" i="5"/>
  <c r="N105" i="5"/>
  <c r="M105" i="5"/>
  <c r="L105" i="5"/>
  <c r="K105" i="5"/>
  <c r="N104" i="5"/>
  <c r="M104" i="5"/>
  <c r="L104" i="5"/>
  <c r="K104" i="5"/>
  <c r="A104" i="5"/>
  <c r="N103" i="5"/>
  <c r="M103" i="5"/>
  <c r="L103" i="5"/>
  <c r="K103" i="5"/>
  <c r="A103" i="5"/>
  <c r="N102" i="5"/>
  <c r="M102" i="5"/>
  <c r="L102" i="5"/>
  <c r="K102" i="5"/>
  <c r="N101" i="5"/>
  <c r="M101" i="5"/>
  <c r="L101" i="5"/>
  <c r="K101" i="5"/>
  <c r="A101" i="5"/>
  <c r="N100" i="5"/>
  <c r="M100" i="5"/>
  <c r="L100" i="5"/>
  <c r="K100" i="5"/>
  <c r="A100" i="5"/>
  <c r="N99" i="5"/>
  <c r="M99" i="5"/>
  <c r="L99" i="5"/>
  <c r="K99" i="5"/>
  <c r="A99" i="5"/>
  <c r="N98" i="5"/>
  <c r="M98" i="5"/>
  <c r="L98" i="5"/>
  <c r="K98" i="5"/>
  <c r="N97" i="5"/>
  <c r="M97" i="5"/>
  <c r="L97" i="5"/>
  <c r="K97" i="5"/>
  <c r="N96" i="5"/>
  <c r="M96" i="5"/>
  <c r="L96" i="5"/>
  <c r="K96" i="5"/>
  <c r="A96" i="5"/>
  <c r="N95" i="5"/>
  <c r="M95" i="5"/>
  <c r="L95" i="5"/>
  <c r="K95" i="5"/>
  <c r="A95" i="5"/>
  <c r="N94" i="5"/>
  <c r="M94" i="5"/>
  <c r="L94" i="5"/>
  <c r="K94" i="5"/>
  <c r="N93" i="5"/>
  <c r="M93" i="5"/>
  <c r="L93" i="5"/>
  <c r="K93" i="5"/>
  <c r="A93" i="5"/>
  <c r="N92" i="5"/>
  <c r="M92" i="5"/>
  <c r="L92" i="5"/>
  <c r="K92" i="5"/>
  <c r="A92" i="5"/>
  <c r="N91" i="5"/>
  <c r="M91" i="5"/>
  <c r="L91" i="5"/>
  <c r="K91" i="5"/>
  <c r="A91" i="5"/>
  <c r="N90" i="5"/>
  <c r="L90" i="5"/>
  <c r="K90" i="5"/>
  <c r="A90" i="5"/>
  <c r="N89" i="5"/>
  <c r="M89" i="5"/>
  <c r="L89" i="5"/>
  <c r="K89" i="5"/>
  <c r="N88" i="5"/>
  <c r="M88" i="5"/>
  <c r="L88" i="5"/>
  <c r="K88" i="5"/>
  <c r="A88" i="5"/>
  <c r="N87" i="5"/>
  <c r="M87" i="5"/>
  <c r="L87" i="5"/>
  <c r="K87" i="5"/>
  <c r="N86" i="5"/>
  <c r="M86" i="5"/>
  <c r="L86" i="5"/>
  <c r="K86" i="5"/>
  <c r="L85" i="5"/>
  <c r="N84" i="5"/>
  <c r="M84" i="5"/>
  <c r="L84" i="5"/>
  <c r="K84" i="5"/>
  <c r="A84" i="5"/>
  <c r="N83" i="5"/>
  <c r="M83" i="5"/>
  <c r="L83" i="5"/>
  <c r="K83" i="5"/>
  <c r="A83" i="5"/>
  <c r="N82" i="5"/>
  <c r="M82" i="5"/>
  <c r="L82" i="5"/>
  <c r="K82" i="5"/>
  <c r="N81" i="5"/>
  <c r="L81" i="5"/>
  <c r="N80" i="5"/>
  <c r="M80" i="5"/>
  <c r="L80" i="5"/>
  <c r="K80" i="5"/>
  <c r="A80" i="5"/>
  <c r="N79" i="5"/>
  <c r="M79" i="5"/>
  <c r="L79" i="5"/>
  <c r="K79" i="5"/>
  <c r="A79" i="5"/>
  <c r="N78" i="5"/>
  <c r="L78" i="5"/>
  <c r="K78" i="5"/>
  <c r="A78" i="5"/>
  <c r="N77" i="5"/>
  <c r="L77" i="5"/>
  <c r="K77" i="5"/>
  <c r="N76" i="5"/>
  <c r="M76" i="5"/>
  <c r="L76" i="5"/>
  <c r="K76" i="5"/>
  <c r="A76" i="5"/>
  <c r="N75" i="5"/>
  <c r="M75" i="5"/>
  <c r="L75" i="5"/>
  <c r="K75" i="5"/>
  <c r="N74" i="5"/>
  <c r="M74" i="5"/>
  <c r="L74" i="5"/>
  <c r="K74" i="5"/>
  <c r="N73" i="5"/>
  <c r="L73" i="5"/>
  <c r="K73" i="5"/>
  <c r="N72" i="5"/>
  <c r="L72" i="5"/>
  <c r="K72" i="5"/>
  <c r="N71" i="5"/>
  <c r="L71" i="5"/>
  <c r="K71" i="5"/>
  <c r="A71" i="5"/>
  <c r="N70" i="5"/>
  <c r="M70" i="5"/>
  <c r="L70" i="5"/>
  <c r="K70" i="5"/>
  <c r="N69" i="5"/>
  <c r="L69" i="5"/>
  <c r="K69" i="5"/>
  <c r="A69" i="5"/>
  <c r="N68" i="5"/>
  <c r="L68" i="5"/>
  <c r="K68" i="5"/>
  <c r="N67" i="5"/>
  <c r="L67" i="5"/>
  <c r="K67" i="5"/>
  <c r="N66" i="5"/>
  <c r="L66" i="5"/>
  <c r="K66" i="5"/>
  <c r="A66" i="5"/>
  <c r="N65" i="5"/>
  <c r="L65" i="5"/>
  <c r="K65" i="5"/>
  <c r="A65" i="5"/>
  <c r="N64" i="5"/>
  <c r="L64" i="5"/>
  <c r="K64" i="5"/>
  <c r="N63" i="5"/>
  <c r="M63" i="5"/>
  <c r="L63" i="5"/>
  <c r="K63" i="5"/>
  <c r="N62" i="5"/>
  <c r="L62" i="5"/>
  <c r="K62" i="5"/>
  <c r="A62" i="5"/>
  <c r="N61" i="5"/>
  <c r="M61" i="5"/>
  <c r="L61" i="5"/>
  <c r="K61" i="5"/>
  <c r="A61" i="5"/>
  <c r="N60" i="5"/>
  <c r="L60" i="5"/>
  <c r="K60" i="5"/>
  <c r="N59" i="5"/>
  <c r="L59" i="5"/>
  <c r="K59" i="5"/>
  <c r="N58" i="5"/>
  <c r="A58" i="5"/>
  <c r="N57" i="5"/>
  <c r="M57" i="5"/>
  <c r="L57" i="5"/>
  <c r="K57" i="5"/>
  <c r="N56" i="5"/>
  <c r="L56" i="5"/>
  <c r="K56" i="5"/>
  <c r="A56" i="5"/>
  <c r="N55" i="5"/>
  <c r="M55" i="5"/>
  <c r="L55" i="5"/>
  <c r="K55" i="5"/>
  <c r="A55" i="5"/>
  <c r="N54" i="5"/>
  <c r="M54" i="5"/>
  <c r="L54" i="5"/>
  <c r="K54" i="5"/>
  <c r="A54" i="5"/>
  <c r="N53" i="5"/>
  <c r="M53" i="5"/>
  <c r="L53" i="5"/>
  <c r="K53" i="5"/>
  <c r="A53" i="5"/>
  <c r="N52" i="5"/>
  <c r="L52" i="5"/>
  <c r="K52" i="5"/>
  <c r="N51" i="5"/>
  <c r="M51" i="5"/>
  <c r="L51" i="5"/>
  <c r="K51" i="5"/>
  <c r="N50" i="5"/>
  <c r="K50" i="5"/>
  <c r="N49" i="5"/>
  <c r="L49" i="5"/>
  <c r="K49" i="5"/>
  <c r="A49" i="5"/>
  <c r="N48" i="5"/>
  <c r="L48" i="5"/>
  <c r="K48" i="5"/>
  <c r="N47" i="5"/>
  <c r="L47" i="5"/>
  <c r="K47" i="5"/>
  <c r="N46" i="5"/>
  <c r="L46" i="5"/>
  <c r="K46" i="5"/>
  <c r="A46" i="5"/>
  <c r="N45" i="5"/>
  <c r="L45" i="5"/>
  <c r="K45" i="5"/>
  <c r="A45" i="5"/>
  <c r="N44" i="5"/>
  <c r="L44" i="5"/>
  <c r="K44" i="5"/>
  <c r="A44" i="5"/>
  <c r="N43" i="5"/>
  <c r="L43" i="5"/>
  <c r="K43" i="5"/>
  <c r="N42" i="5"/>
  <c r="L42" i="5"/>
  <c r="K42" i="5"/>
  <c r="A42" i="5"/>
  <c r="N41" i="5"/>
  <c r="L41" i="5"/>
  <c r="K41" i="5"/>
  <c r="A41" i="5"/>
  <c r="N40" i="5"/>
  <c r="M40" i="5"/>
  <c r="L40" i="5"/>
  <c r="N39" i="5"/>
  <c r="M39" i="5"/>
  <c r="L39" i="5"/>
  <c r="K39" i="5"/>
  <c r="A39" i="5"/>
  <c r="N38" i="5"/>
  <c r="M38" i="5"/>
  <c r="L38" i="5"/>
  <c r="K38" i="5"/>
  <c r="A38" i="5"/>
  <c r="N37" i="5"/>
  <c r="M37" i="5"/>
  <c r="L37" i="5"/>
  <c r="K37" i="5"/>
  <c r="N36" i="5"/>
  <c r="M36" i="5"/>
  <c r="L36" i="5"/>
  <c r="K36" i="5"/>
  <c r="A36" i="5"/>
  <c r="N35" i="5"/>
  <c r="L35" i="5"/>
  <c r="K35" i="5"/>
  <c r="A35" i="5"/>
  <c r="N34" i="5"/>
  <c r="M34" i="5"/>
  <c r="L34" i="5"/>
  <c r="K34" i="5"/>
  <c r="N33" i="5"/>
  <c r="M33" i="5"/>
  <c r="L33" i="5"/>
  <c r="K33" i="5"/>
  <c r="N32" i="5"/>
  <c r="M32" i="5"/>
  <c r="L32" i="5"/>
  <c r="K32" i="5"/>
  <c r="A32" i="5"/>
  <c r="N31" i="5"/>
  <c r="M31" i="5"/>
  <c r="L31" i="5"/>
  <c r="K31" i="5"/>
  <c r="A31" i="5"/>
  <c r="N30" i="5"/>
  <c r="M30" i="5"/>
  <c r="L30" i="5"/>
  <c r="K30" i="5"/>
  <c r="N29" i="5"/>
  <c r="M29" i="5"/>
  <c r="L29" i="5"/>
  <c r="K29" i="5"/>
  <c r="A29" i="5"/>
  <c r="N28" i="5"/>
  <c r="M28" i="5"/>
  <c r="L28" i="5"/>
  <c r="K28" i="5"/>
  <c r="A28" i="5"/>
  <c r="N27" i="5"/>
  <c r="M27" i="5"/>
  <c r="L27" i="5"/>
  <c r="K27" i="5"/>
  <c r="A27" i="5"/>
  <c r="N26" i="5"/>
  <c r="M26" i="5"/>
  <c r="L26" i="5"/>
  <c r="K26" i="5"/>
  <c r="N25" i="5"/>
  <c r="M25" i="5"/>
  <c r="L25" i="5"/>
  <c r="K25" i="5"/>
  <c r="N24" i="5"/>
  <c r="M24" i="5"/>
  <c r="L24" i="5"/>
  <c r="K24" i="5"/>
  <c r="A24" i="5"/>
  <c r="N23" i="5"/>
  <c r="M23" i="5"/>
  <c r="L23" i="5"/>
  <c r="K23" i="5"/>
  <c r="A23" i="5"/>
  <c r="N22" i="5"/>
  <c r="M22" i="5"/>
  <c r="L22" i="5"/>
  <c r="K22" i="5"/>
  <c r="N21" i="5"/>
  <c r="M21" i="5"/>
  <c r="L21" i="5"/>
  <c r="K21" i="5"/>
  <c r="A21" i="5"/>
  <c r="N20" i="5"/>
  <c r="M20" i="5"/>
  <c r="L20" i="5"/>
  <c r="K20" i="5"/>
  <c r="A20" i="5"/>
  <c r="N19" i="5"/>
  <c r="M19" i="5"/>
  <c r="L19" i="5"/>
  <c r="K19" i="5"/>
  <c r="A19" i="5"/>
  <c r="N18" i="5"/>
  <c r="L18" i="5"/>
  <c r="K18" i="5"/>
  <c r="A18" i="5"/>
  <c r="N17" i="5"/>
  <c r="M17" i="5"/>
  <c r="L17" i="5"/>
  <c r="K17" i="5"/>
  <c r="N16" i="5"/>
  <c r="M16" i="5"/>
  <c r="L16" i="5"/>
  <c r="K16" i="5"/>
  <c r="A16" i="5"/>
  <c r="N15" i="5"/>
  <c r="M15" i="5"/>
  <c r="L15" i="5"/>
  <c r="K15" i="5"/>
  <c r="N14" i="5"/>
  <c r="M14" i="5"/>
  <c r="L14" i="5"/>
  <c r="K14" i="5"/>
  <c r="N13" i="5"/>
  <c r="M13" i="5"/>
  <c r="L13" i="5"/>
  <c r="K13" i="5"/>
  <c r="A13" i="5"/>
  <c r="N12" i="5"/>
  <c r="M12" i="5"/>
  <c r="L12" i="5"/>
  <c r="K12" i="5"/>
  <c r="A12" i="5"/>
  <c r="N11" i="5"/>
  <c r="M11" i="5"/>
  <c r="L11" i="5"/>
  <c r="K11" i="5"/>
  <c r="N10" i="5"/>
  <c r="M10" i="5"/>
  <c r="L10" i="5"/>
  <c r="K10" i="5"/>
  <c r="A10" i="5"/>
  <c r="N9" i="5"/>
  <c r="M9" i="5"/>
  <c r="L9" i="5"/>
  <c r="K9" i="5"/>
  <c r="A9" i="5"/>
  <c r="N8" i="5"/>
  <c r="M8" i="5"/>
  <c r="L8" i="5"/>
  <c r="K8" i="5"/>
  <c r="N7" i="5"/>
  <c r="L7" i="5"/>
  <c r="K7" i="5"/>
  <c r="N6" i="5"/>
  <c r="M6" i="5"/>
  <c r="L6" i="5"/>
  <c r="K6" i="5"/>
  <c r="N5" i="5"/>
  <c r="A5" i="5"/>
  <c r="N4" i="5"/>
  <c r="M4" i="5"/>
  <c r="L4" i="5"/>
  <c r="K4" i="5"/>
  <c r="N3" i="5"/>
  <c r="M3" i="5"/>
  <c r="L3" i="5"/>
  <c r="K3" i="5"/>
  <c r="A3" i="5"/>
  <c r="A127" i="4"/>
  <c r="A115" i="4"/>
  <c r="A114" i="4"/>
  <c r="A113" i="4"/>
  <c r="A112" i="4"/>
  <c r="A111" i="4"/>
  <c r="A110" i="4"/>
  <c r="A109" i="4"/>
  <c r="A106" i="4"/>
  <c r="B103" i="4"/>
  <c r="N82" i="4"/>
  <c r="L82" i="4"/>
  <c r="N81" i="4"/>
  <c r="L81" i="4"/>
  <c r="N80" i="4"/>
  <c r="L80" i="4"/>
  <c r="N79" i="4"/>
  <c r="L79" i="4"/>
  <c r="K79" i="4"/>
  <c r="A79" i="4"/>
  <c r="N78" i="4"/>
  <c r="L78" i="4"/>
  <c r="K78" i="4"/>
  <c r="N77" i="4"/>
  <c r="M77" i="4"/>
  <c r="L77" i="4"/>
  <c r="K77" i="4"/>
  <c r="A77" i="4"/>
  <c r="N76" i="4"/>
  <c r="L76" i="4"/>
  <c r="K76" i="4"/>
  <c r="A76" i="4"/>
  <c r="N75" i="4"/>
  <c r="M75" i="4"/>
  <c r="L75" i="4"/>
  <c r="K75" i="4"/>
  <c r="N74" i="4"/>
  <c r="L74" i="4"/>
  <c r="K74" i="4"/>
  <c r="N73" i="4"/>
  <c r="M73" i="4"/>
  <c r="L73" i="4"/>
  <c r="K73" i="4"/>
  <c r="A73" i="4"/>
  <c r="N72" i="4"/>
  <c r="L72" i="4"/>
  <c r="K72" i="4"/>
  <c r="A72" i="4"/>
  <c r="N71" i="4"/>
  <c r="M71" i="4"/>
  <c r="L71" i="4"/>
  <c r="K71" i="4"/>
  <c r="A71" i="4"/>
  <c r="N70" i="4"/>
  <c r="L70" i="4"/>
  <c r="K70" i="4"/>
  <c r="A70" i="4"/>
  <c r="N69" i="4"/>
  <c r="L69" i="4"/>
  <c r="K69" i="4"/>
  <c r="N68" i="4"/>
  <c r="L68" i="4"/>
  <c r="K68" i="4"/>
  <c r="N67" i="4"/>
  <c r="L67" i="4"/>
  <c r="K67" i="4"/>
  <c r="A67" i="4"/>
  <c r="N66" i="4"/>
  <c r="L66" i="4"/>
  <c r="K66" i="4"/>
  <c r="A66" i="4"/>
  <c r="N65" i="4"/>
  <c r="L65" i="4"/>
  <c r="K65" i="4"/>
  <c r="N64" i="4"/>
  <c r="M64" i="4"/>
  <c r="L64" i="4"/>
  <c r="K64" i="4"/>
  <c r="N63" i="4"/>
  <c r="L63" i="4"/>
  <c r="K63" i="4"/>
  <c r="A63" i="4"/>
  <c r="N62" i="4"/>
  <c r="M62" i="4"/>
  <c r="L62" i="4"/>
  <c r="K62" i="4"/>
  <c r="A62" i="4"/>
  <c r="N61" i="4"/>
  <c r="L61" i="4"/>
  <c r="K61" i="4"/>
  <c r="N60" i="4"/>
  <c r="L60" i="4"/>
  <c r="K60" i="4"/>
  <c r="N59" i="4"/>
  <c r="L59" i="4"/>
  <c r="K59" i="4"/>
  <c r="N58" i="4"/>
  <c r="L58" i="4"/>
  <c r="K58" i="4"/>
  <c r="A58" i="4"/>
  <c r="N57" i="4"/>
  <c r="L57" i="4"/>
  <c r="K57" i="4"/>
  <c r="A57" i="4"/>
  <c r="N56" i="4"/>
  <c r="M56" i="4"/>
  <c r="L56" i="4"/>
  <c r="K56" i="4"/>
  <c r="A56" i="4"/>
  <c r="N55" i="4"/>
  <c r="M55" i="4"/>
  <c r="L55" i="4"/>
  <c r="K55" i="4"/>
  <c r="A55" i="4"/>
  <c r="N54" i="4"/>
  <c r="M54" i="4"/>
  <c r="L54" i="4"/>
  <c r="K54" i="4"/>
  <c r="A54" i="4"/>
  <c r="N53" i="4"/>
  <c r="L53" i="4"/>
  <c r="K53" i="4"/>
  <c r="N52" i="4"/>
  <c r="M52" i="4"/>
  <c r="L52" i="4"/>
  <c r="K52" i="4"/>
  <c r="N51" i="4"/>
  <c r="K51" i="4"/>
  <c r="N50" i="4"/>
  <c r="L50" i="4"/>
  <c r="K50" i="4"/>
  <c r="A50" i="4"/>
  <c r="N49" i="4"/>
  <c r="L49" i="4"/>
  <c r="K49" i="4"/>
  <c r="N48" i="4"/>
  <c r="L48" i="4"/>
  <c r="K48" i="4"/>
  <c r="N47" i="4"/>
  <c r="L47" i="4"/>
  <c r="K47" i="4"/>
  <c r="A47" i="4"/>
  <c r="N46" i="4"/>
  <c r="L46" i="4"/>
  <c r="K46" i="4"/>
  <c r="A46" i="4"/>
  <c r="N45" i="4"/>
  <c r="L45" i="4"/>
  <c r="K45" i="4"/>
  <c r="A45" i="4"/>
  <c r="N44" i="4"/>
  <c r="L44" i="4"/>
  <c r="K44" i="4"/>
  <c r="N43" i="4"/>
  <c r="L43" i="4"/>
  <c r="K43" i="4"/>
  <c r="A43" i="4"/>
  <c r="N42" i="4"/>
  <c r="L42" i="4"/>
  <c r="K42" i="4"/>
  <c r="A42" i="4"/>
  <c r="N41" i="4"/>
  <c r="M41" i="4"/>
  <c r="L41" i="4"/>
  <c r="N40" i="4"/>
  <c r="M40" i="4"/>
  <c r="L40" i="4"/>
  <c r="K40" i="4"/>
  <c r="A40" i="4"/>
  <c r="N39" i="4"/>
  <c r="M39" i="4"/>
  <c r="L39" i="4"/>
  <c r="K39" i="4"/>
  <c r="A39" i="4"/>
  <c r="N38" i="4"/>
  <c r="M38" i="4"/>
  <c r="L38" i="4"/>
  <c r="K38" i="4"/>
  <c r="N37" i="4"/>
  <c r="M37" i="4"/>
  <c r="L37" i="4"/>
  <c r="K37" i="4"/>
  <c r="A37" i="4"/>
  <c r="N36" i="4"/>
  <c r="L36" i="4"/>
  <c r="K36" i="4"/>
  <c r="A36" i="4"/>
  <c r="N35" i="4"/>
  <c r="M35" i="4"/>
  <c r="L35" i="4"/>
  <c r="K35" i="4"/>
  <c r="N34" i="4"/>
  <c r="M34" i="4"/>
  <c r="L34" i="4"/>
  <c r="K34" i="4"/>
  <c r="N33" i="4"/>
  <c r="M33" i="4"/>
  <c r="L33" i="4"/>
  <c r="K33" i="4"/>
  <c r="A33" i="4"/>
  <c r="N32" i="4"/>
  <c r="M32" i="4"/>
  <c r="L32" i="4"/>
  <c r="K32" i="4"/>
  <c r="A32" i="4"/>
  <c r="N31" i="4"/>
  <c r="M31" i="4"/>
  <c r="L31" i="4"/>
  <c r="K31" i="4"/>
  <c r="N30" i="4"/>
  <c r="M30" i="4"/>
  <c r="L30" i="4"/>
  <c r="K30" i="4"/>
  <c r="A30" i="4"/>
  <c r="N29" i="4"/>
  <c r="M29" i="4"/>
  <c r="L29" i="4"/>
  <c r="K29" i="4"/>
  <c r="A29" i="4"/>
  <c r="N28" i="4"/>
  <c r="M28" i="4"/>
  <c r="L28" i="4"/>
  <c r="K28" i="4"/>
  <c r="A28" i="4"/>
  <c r="N27" i="4"/>
  <c r="M27" i="4"/>
  <c r="L27" i="4"/>
  <c r="K27" i="4"/>
  <c r="N26" i="4"/>
  <c r="M26" i="4"/>
  <c r="L26" i="4"/>
  <c r="K26" i="4"/>
  <c r="N25" i="4"/>
  <c r="M25" i="4"/>
  <c r="L25" i="4"/>
  <c r="K25" i="4"/>
  <c r="A25" i="4"/>
  <c r="N24" i="4"/>
  <c r="M24" i="4"/>
  <c r="L24" i="4"/>
  <c r="K24" i="4"/>
  <c r="A24" i="4"/>
  <c r="N23" i="4"/>
  <c r="M23" i="4"/>
  <c r="L23" i="4"/>
  <c r="K23" i="4"/>
  <c r="N22" i="4"/>
  <c r="M22" i="4"/>
  <c r="L22" i="4"/>
  <c r="K22" i="4"/>
  <c r="A22" i="4"/>
  <c r="N21" i="4"/>
  <c r="M21" i="4"/>
  <c r="L21" i="4"/>
  <c r="K21" i="4"/>
  <c r="A21" i="4"/>
  <c r="N20" i="4"/>
  <c r="M20" i="4"/>
  <c r="L20" i="4"/>
  <c r="K20" i="4"/>
  <c r="A20" i="4"/>
  <c r="N19" i="4"/>
  <c r="L19" i="4"/>
  <c r="K19" i="4"/>
  <c r="A19" i="4"/>
  <c r="N18" i="4"/>
  <c r="M18" i="4"/>
  <c r="L18" i="4"/>
  <c r="K18" i="4"/>
  <c r="N17" i="4"/>
  <c r="M17" i="4"/>
  <c r="L17" i="4"/>
  <c r="K17" i="4"/>
  <c r="A17" i="4"/>
  <c r="N16" i="4"/>
  <c r="M16" i="4"/>
  <c r="L16" i="4"/>
  <c r="K16" i="4"/>
  <c r="N15" i="4"/>
  <c r="M15" i="4"/>
  <c r="L15" i="4"/>
  <c r="K15" i="4"/>
  <c r="L14" i="4"/>
  <c r="N13" i="4"/>
  <c r="M13" i="4"/>
  <c r="L13" i="4"/>
  <c r="K13" i="4"/>
  <c r="A13" i="4"/>
  <c r="N12" i="4"/>
  <c r="M12" i="4"/>
  <c r="L12" i="4"/>
  <c r="K12" i="4"/>
  <c r="A12" i="4"/>
  <c r="N11" i="4"/>
  <c r="M11" i="4"/>
  <c r="L11" i="4"/>
  <c r="K11" i="4"/>
  <c r="N10" i="4"/>
  <c r="M10" i="4"/>
  <c r="L10" i="4"/>
  <c r="K10" i="4"/>
  <c r="A10" i="4"/>
  <c r="N9" i="4"/>
  <c r="M9" i="4"/>
  <c r="L9" i="4"/>
  <c r="K9" i="4"/>
  <c r="A9" i="4"/>
  <c r="N8" i="4"/>
  <c r="M8" i="4"/>
  <c r="L8" i="4"/>
  <c r="K8" i="4"/>
  <c r="N7" i="4"/>
  <c r="L7" i="4"/>
  <c r="K7" i="4"/>
  <c r="N6" i="4"/>
  <c r="M6" i="4"/>
  <c r="L6" i="4"/>
  <c r="K6" i="4"/>
  <c r="N5" i="4"/>
  <c r="A5" i="4"/>
  <c r="N4" i="4"/>
  <c r="M4" i="4"/>
  <c r="L4" i="4"/>
  <c r="K4" i="4"/>
  <c r="N3" i="4"/>
  <c r="M3" i="4"/>
  <c r="L3" i="4"/>
  <c r="K3" i="4"/>
  <c r="A3" i="4"/>
  <c r="U1132" i="3"/>
  <c r="S1132" i="3"/>
  <c r="U1131" i="3"/>
  <c r="S1131" i="3"/>
  <c r="U1130" i="3"/>
  <c r="S1130" i="3"/>
  <c r="U1129" i="3"/>
  <c r="S1129" i="3"/>
  <c r="R1129" i="3"/>
  <c r="A1129" i="3"/>
  <c r="U1128" i="3"/>
  <c r="S1128" i="3"/>
  <c r="R1128" i="3"/>
  <c r="U1127" i="3"/>
  <c r="T1127" i="3"/>
  <c r="S1127" i="3"/>
  <c r="R1127" i="3"/>
  <c r="A1127" i="3"/>
  <c r="U1126" i="3"/>
  <c r="S1126" i="3"/>
  <c r="R1126" i="3"/>
  <c r="A1126" i="3"/>
  <c r="U1125" i="3"/>
  <c r="T1125" i="3"/>
  <c r="S1125" i="3"/>
  <c r="R1125" i="3"/>
  <c r="U1124" i="3"/>
  <c r="S1124" i="3"/>
  <c r="R1124" i="3"/>
  <c r="U1123" i="3"/>
  <c r="T1123" i="3"/>
  <c r="S1123" i="3"/>
  <c r="R1123" i="3"/>
  <c r="A1123" i="3"/>
  <c r="U1122" i="3"/>
  <c r="S1122" i="3"/>
  <c r="R1122" i="3"/>
  <c r="A1122" i="3"/>
  <c r="U1121" i="3"/>
  <c r="T1121" i="3"/>
  <c r="S1121" i="3"/>
  <c r="R1121" i="3"/>
  <c r="A1121" i="3"/>
  <c r="U1120" i="3"/>
  <c r="S1120" i="3"/>
  <c r="R1120" i="3"/>
  <c r="A1120" i="3"/>
  <c r="U1119" i="3"/>
  <c r="S1119" i="3"/>
  <c r="R1119" i="3"/>
  <c r="A1119" i="3"/>
  <c r="U1118" i="3"/>
  <c r="R1118" i="3"/>
  <c r="U1117" i="3"/>
  <c r="S1117" i="3"/>
  <c r="R1117" i="3"/>
  <c r="A1117" i="3"/>
  <c r="U1115" i="3"/>
  <c r="S1115" i="3"/>
  <c r="R1115" i="3"/>
  <c r="A1115" i="3"/>
  <c r="U1114" i="3"/>
  <c r="S1114" i="3"/>
  <c r="R1114" i="3"/>
  <c r="U1113" i="3"/>
  <c r="T1113" i="3"/>
  <c r="S1113" i="3"/>
  <c r="R1113" i="3"/>
  <c r="U1112" i="3"/>
  <c r="S1112" i="3"/>
  <c r="R1112" i="3"/>
  <c r="A1112" i="3"/>
  <c r="U1111" i="3"/>
  <c r="T1111" i="3"/>
  <c r="S1111" i="3"/>
  <c r="R1111" i="3"/>
  <c r="A1111" i="3"/>
  <c r="U1110" i="3"/>
  <c r="S1110" i="3"/>
  <c r="R1110" i="3"/>
  <c r="U1108" i="3"/>
  <c r="S1108" i="3"/>
  <c r="R1108" i="3"/>
  <c r="U1107" i="3"/>
  <c r="S1107" i="3"/>
  <c r="R1107" i="3"/>
  <c r="U1106" i="3"/>
  <c r="S1106" i="3"/>
  <c r="R1106" i="3"/>
  <c r="A1106" i="3"/>
  <c r="U1105" i="3"/>
  <c r="S1105" i="3"/>
  <c r="R1105" i="3"/>
  <c r="A1105" i="3"/>
  <c r="U1104" i="3"/>
  <c r="T1104" i="3"/>
  <c r="S1104" i="3"/>
  <c r="R1104" i="3"/>
  <c r="A1104" i="3"/>
  <c r="U1103" i="3"/>
  <c r="T1103" i="3"/>
  <c r="S1103" i="3"/>
  <c r="R1103" i="3"/>
  <c r="A1103" i="3"/>
  <c r="S1102" i="3"/>
  <c r="R1102" i="3"/>
  <c r="A1102" i="3"/>
  <c r="U1101" i="3"/>
  <c r="T1101" i="3"/>
  <c r="S1101" i="3"/>
  <c r="R1101" i="3"/>
  <c r="A1101" i="3"/>
  <c r="U1100" i="3"/>
  <c r="S1100" i="3"/>
  <c r="R1100" i="3"/>
  <c r="U1099" i="3"/>
  <c r="T1099" i="3"/>
  <c r="S1099" i="3"/>
  <c r="R1099" i="3"/>
  <c r="U1098" i="3"/>
  <c r="S1098" i="3"/>
  <c r="R1098" i="3"/>
  <c r="U1097" i="3"/>
  <c r="S1097" i="3"/>
  <c r="R1097" i="3"/>
  <c r="A1097" i="3"/>
  <c r="U1096" i="3"/>
  <c r="S1096" i="3"/>
  <c r="R1096" i="3"/>
  <c r="U1095" i="3"/>
  <c r="S1095" i="3"/>
  <c r="R1095" i="3"/>
  <c r="U1094" i="3"/>
  <c r="S1094" i="3"/>
  <c r="R1094" i="3"/>
  <c r="A1094" i="3"/>
  <c r="U1093" i="3"/>
  <c r="S1093" i="3"/>
  <c r="R1093" i="3"/>
  <c r="A1093" i="3"/>
  <c r="U1092" i="3"/>
  <c r="S1092" i="3"/>
  <c r="R1092" i="3"/>
  <c r="A1092" i="3"/>
  <c r="U1091" i="3"/>
  <c r="T1091" i="3"/>
  <c r="S1091" i="3"/>
  <c r="R1091" i="3"/>
  <c r="U1090" i="3"/>
  <c r="T1090" i="3"/>
  <c r="S1090" i="3"/>
  <c r="R1090" i="3"/>
  <c r="U1089" i="3"/>
  <c r="S1089" i="3"/>
  <c r="R1089" i="3"/>
  <c r="A1089" i="3"/>
  <c r="U1088" i="3"/>
  <c r="S1088" i="3"/>
  <c r="R1088" i="3"/>
  <c r="A1088" i="3"/>
  <c r="U1087" i="3"/>
  <c r="T1087" i="3"/>
  <c r="S1087" i="3"/>
  <c r="R1087" i="3"/>
  <c r="A1087" i="3"/>
  <c r="U1086" i="3"/>
  <c r="T1086" i="3"/>
  <c r="S1086" i="3"/>
  <c r="R1086" i="3"/>
  <c r="A1086" i="3"/>
  <c r="U1085" i="3"/>
  <c r="T1085" i="3"/>
  <c r="S1085" i="3"/>
  <c r="R1085" i="3"/>
  <c r="A1085" i="3"/>
  <c r="U1084" i="3"/>
  <c r="T1084" i="3"/>
  <c r="S1084" i="3"/>
  <c r="R1084" i="3"/>
  <c r="A1084" i="3"/>
  <c r="U1083" i="3"/>
  <c r="T1083" i="3"/>
  <c r="S1083" i="3"/>
  <c r="R1083" i="3"/>
  <c r="A1083" i="3"/>
  <c r="U1082" i="3"/>
  <c r="S1082" i="3"/>
  <c r="R1082" i="3"/>
  <c r="A1082" i="3"/>
  <c r="U1081" i="3"/>
  <c r="T1081" i="3"/>
  <c r="S1081" i="3"/>
  <c r="R1081" i="3"/>
  <c r="U1080" i="3"/>
  <c r="T1080" i="3"/>
  <c r="S1080" i="3"/>
  <c r="R1080" i="3"/>
  <c r="U1079" i="3"/>
  <c r="T1079" i="3"/>
  <c r="S1079" i="3"/>
  <c r="R1079" i="3"/>
  <c r="A1079" i="3"/>
  <c r="U1078" i="3"/>
  <c r="T1078" i="3"/>
  <c r="S1078" i="3"/>
  <c r="R1078" i="3"/>
  <c r="A1078" i="3"/>
  <c r="U1077" i="3"/>
  <c r="T1077" i="3"/>
  <c r="S1077" i="3"/>
  <c r="R1077" i="3"/>
  <c r="U1076" i="3"/>
  <c r="T1076" i="3"/>
  <c r="S1076" i="3"/>
  <c r="R1076" i="3"/>
  <c r="A1076" i="3"/>
  <c r="U1075" i="3"/>
  <c r="T1075" i="3"/>
  <c r="S1075" i="3"/>
  <c r="R1075" i="3"/>
  <c r="A1075" i="3"/>
  <c r="U1074" i="3"/>
  <c r="T1074" i="3"/>
  <c r="S1074" i="3"/>
  <c r="R1074" i="3"/>
  <c r="A1074" i="3"/>
  <c r="U1073" i="3"/>
  <c r="T1073" i="3"/>
  <c r="S1073" i="3"/>
  <c r="R1073" i="3"/>
  <c r="U1072" i="3"/>
  <c r="T1072" i="3"/>
  <c r="S1072" i="3"/>
  <c r="R1072" i="3"/>
  <c r="S1071" i="3"/>
  <c r="R1071" i="3"/>
  <c r="U1070" i="3"/>
  <c r="T1070" i="3"/>
  <c r="S1070" i="3"/>
  <c r="R1070" i="3"/>
  <c r="A1070" i="3"/>
  <c r="U1069" i="3"/>
  <c r="T1069" i="3"/>
  <c r="S1069" i="3"/>
  <c r="R1069" i="3"/>
  <c r="A1069" i="3"/>
  <c r="U1068" i="3"/>
  <c r="T1068" i="3"/>
  <c r="S1068" i="3"/>
  <c r="R1068" i="3"/>
  <c r="A1068" i="3"/>
  <c r="U1067" i="3"/>
  <c r="T1067" i="3"/>
  <c r="S1067" i="3"/>
  <c r="R1067" i="3"/>
  <c r="U1066" i="3"/>
  <c r="T1066" i="3"/>
  <c r="S1066" i="3"/>
  <c r="R1066" i="3"/>
  <c r="A1066" i="3"/>
  <c r="U1065" i="3"/>
  <c r="T1065" i="3"/>
  <c r="S1065" i="3"/>
  <c r="R1065" i="3"/>
  <c r="A1065" i="3"/>
  <c r="U1064" i="3"/>
  <c r="T1064" i="3"/>
  <c r="S1064" i="3"/>
  <c r="R1064" i="3"/>
  <c r="A1064" i="3"/>
  <c r="A127" i="3"/>
  <c r="A115" i="3"/>
  <c r="A114" i="3"/>
  <c r="A113" i="3"/>
  <c r="A112" i="3"/>
  <c r="A111" i="3"/>
  <c r="A110" i="3"/>
  <c r="A109" i="3"/>
  <c r="A106" i="3"/>
  <c r="B103" i="3"/>
  <c r="N82" i="3"/>
  <c r="L82" i="3"/>
  <c r="N81" i="3"/>
  <c r="L81" i="3"/>
  <c r="N80" i="3"/>
  <c r="L80" i="3"/>
  <c r="N79" i="3"/>
  <c r="L79" i="3"/>
  <c r="K79" i="3"/>
  <c r="A79" i="3"/>
  <c r="N78" i="3"/>
  <c r="L78" i="3"/>
  <c r="K78" i="3"/>
  <c r="N77" i="3"/>
  <c r="M77" i="3"/>
  <c r="L77" i="3"/>
  <c r="K77" i="3"/>
  <c r="A77" i="3"/>
  <c r="U76" i="3"/>
  <c r="S76" i="3"/>
  <c r="R76" i="3"/>
  <c r="A76" i="3"/>
  <c r="N75" i="3"/>
  <c r="M75" i="3"/>
  <c r="L75" i="3"/>
  <c r="K75" i="3"/>
  <c r="N74" i="3"/>
  <c r="L74" i="3"/>
  <c r="K74" i="3"/>
  <c r="N73" i="3"/>
  <c r="M73" i="3"/>
  <c r="L73" i="3"/>
  <c r="K73" i="3"/>
  <c r="A73" i="3"/>
  <c r="N72" i="3"/>
  <c r="L72" i="3"/>
  <c r="K72" i="3"/>
  <c r="A72" i="3"/>
  <c r="N71" i="3"/>
  <c r="M71" i="3"/>
  <c r="L71" i="3"/>
  <c r="K71" i="3"/>
  <c r="A71" i="3"/>
  <c r="U70" i="3"/>
  <c r="S70" i="3"/>
  <c r="N69" i="3"/>
  <c r="L69" i="3"/>
  <c r="K69" i="3"/>
  <c r="U68" i="3"/>
  <c r="T68" i="3"/>
  <c r="S68" i="3"/>
  <c r="R68" i="3"/>
  <c r="N67" i="3"/>
  <c r="L67" i="3"/>
  <c r="K67" i="3"/>
  <c r="A67" i="3"/>
  <c r="N66" i="3"/>
  <c r="L66" i="3"/>
  <c r="K66" i="3"/>
  <c r="A66" i="3"/>
  <c r="N65" i="3"/>
  <c r="L65" i="3"/>
  <c r="K65" i="3"/>
  <c r="N64" i="3"/>
  <c r="M64" i="3"/>
  <c r="L64" i="3"/>
  <c r="K64" i="3"/>
  <c r="N63" i="3"/>
  <c r="L63" i="3"/>
  <c r="K63" i="3"/>
  <c r="A63" i="3"/>
  <c r="N62" i="3"/>
  <c r="M62" i="3"/>
  <c r="L62" i="3"/>
  <c r="K62" i="3"/>
  <c r="A62" i="3"/>
  <c r="N61" i="3"/>
  <c r="L61" i="3"/>
  <c r="K61" i="3"/>
  <c r="N60" i="3"/>
  <c r="L60" i="3"/>
  <c r="K60" i="3"/>
  <c r="N59" i="3"/>
  <c r="L59" i="3"/>
  <c r="K59" i="3"/>
  <c r="U58" i="3"/>
  <c r="T58" i="3"/>
  <c r="S58" i="3"/>
  <c r="R58" i="3"/>
  <c r="A58" i="3"/>
  <c r="N57" i="3"/>
  <c r="L57" i="3"/>
  <c r="K57" i="3"/>
  <c r="A57" i="3"/>
  <c r="N56" i="3"/>
  <c r="M56" i="3"/>
  <c r="L56" i="3"/>
  <c r="K56" i="3"/>
  <c r="A56" i="3"/>
  <c r="U55" i="3"/>
  <c r="T55" i="3"/>
  <c r="S55" i="3"/>
  <c r="R55" i="3"/>
  <c r="N54" i="3"/>
  <c r="M54" i="3"/>
  <c r="L54" i="3"/>
  <c r="K54" i="3"/>
  <c r="A54" i="3"/>
  <c r="N53" i="3"/>
  <c r="L53" i="3"/>
  <c r="K53" i="3"/>
  <c r="N52" i="3"/>
  <c r="M52" i="3"/>
  <c r="L52" i="3"/>
  <c r="K52" i="3"/>
  <c r="N51" i="3"/>
  <c r="K51" i="3"/>
  <c r="U50" i="3"/>
  <c r="T50" i="3"/>
  <c r="S50" i="3"/>
  <c r="R50" i="3"/>
  <c r="N49" i="3"/>
  <c r="L49" i="3"/>
  <c r="K49" i="3"/>
  <c r="N48" i="3"/>
  <c r="L48" i="3"/>
  <c r="K48" i="3"/>
  <c r="N47" i="3"/>
  <c r="L47" i="3"/>
  <c r="K47" i="3"/>
  <c r="A47" i="3"/>
  <c r="N46" i="3"/>
  <c r="L46" i="3"/>
  <c r="K46" i="3"/>
  <c r="A46" i="3"/>
  <c r="S45" i="3"/>
  <c r="N44" i="3"/>
  <c r="L44" i="3"/>
  <c r="K44" i="3"/>
  <c r="N43" i="3"/>
  <c r="L43" i="3"/>
  <c r="K43" i="3"/>
  <c r="A43" i="3"/>
  <c r="U42" i="3"/>
  <c r="T42" i="3"/>
  <c r="S42" i="3"/>
  <c r="R42" i="3"/>
  <c r="A42" i="3"/>
  <c r="N41" i="3"/>
  <c r="M41" i="3"/>
  <c r="L41" i="3"/>
  <c r="N40" i="3"/>
  <c r="M40" i="3"/>
  <c r="L40" i="3"/>
  <c r="K40" i="3"/>
  <c r="A40" i="3"/>
  <c r="U39" i="3"/>
  <c r="T39" i="3"/>
  <c r="S39" i="3"/>
  <c r="R39" i="3"/>
  <c r="A39" i="3"/>
  <c r="N38" i="3"/>
  <c r="M38" i="3"/>
  <c r="L38" i="3"/>
  <c r="K38" i="3"/>
  <c r="N37" i="3"/>
  <c r="M37" i="3"/>
  <c r="L37" i="3"/>
  <c r="K37" i="3"/>
  <c r="A37" i="3"/>
  <c r="N36" i="3"/>
  <c r="L36" i="3"/>
  <c r="K36" i="3"/>
  <c r="A36" i="3"/>
  <c r="N35" i="3"/>
  <c r="M35" i="3"/>
  <c r="L35" i="3"/>
  <c r="K35" i="3"/>
  <c r="N34" i="3"/>
  <c r="M34" i="3"/>
  <c r="L34" i="3"/>
  <c r="K34" i="3"/>
  <c r="N33" i="3"/>
  <c r="M33" i="3"/>
  <c r="L33" i="3"/>
  <c r="K33" i="3"/>
  <c r="A33" i="3"/>
  <c r="N32" i="3"/>
  <c r="M32" i="3"/>
  <c r="L32" i="3"/>
  <c r="K32" i="3"/>
  <c r="A32" i="3"/>
  <c r="N31" i="3"/>
  <c r="M31" i="3"/>
  <c r="L31" i="3"/>
  <c r="K31" i="3"/>
  <c r="U30" i="3"/>
  <c r="T30" i="3"/>
  <c r="S30" i="3"/>
  <c r="R30" i="3"/>
  <c r="N29" i="3"/>
  <c r="M29" i="3"/>
  <c r="L29" i="3"/>
  <c r="K29" i="3"/>
  <c r="A29" i="3"/>
  <c r="N28" i="3"/>
  <c r="M28" i="3"/>
  <c r="L28" i="3"/>
  <c r="K28" i="3"/>
  <c r="A28" i="3"/>
  <c r="N27" i="3"/>
  <c r="M27" i="3"/>
  <c r="L27" i="3"/>
  <c r="K27" i="3"/>
  <c r="N26" i="3"/>
  <c r="M26" i="3"/>
  <c r="L26" i="3"/>
  <c r="K26" i="3"/>
  <c r="N25" i="3"/>
  <c r="M25" i="3"/>
  <c r="L25" i="3"/>
  <c r="K25" i="3"/>
  <c r="A25" i="3"/>
  <c r="N24" i="3"/>
  <c r="M24" i="3"/>
  <c r="L24" i="3"/>
  <c r="K24" i="3"/>
  <c r="A24" i="3"/>
  <c r="N23" i="3"/>
  <c r="M23" i="3"/>
  <c r="L23" i="3"/>
  <c r="K23" i="3"/>
  <c r="N22" i="3"/>
  <c r="M22" i="3"/>
  <c r="L22" i="3"/>
  <c r="K22" i="3"/>
  <c r="A22" i="3"/>
  <c r="U21" i="3"/>
  <c r="T21" i="3"/>
  <c r="S21" i="3"/>
  <c r="R21" i="3"/>
  <c r="A21" i="3"/>
  <c r="U20" i="3"/>
  <c r="T20" i="3"/>
  <c r="S20" i="3"/>
  <c r="R20" i="3"/>
  <c r="A20" i="3"/>
  <c r="U19" i="3"/>
  <c r="T19" i="3"/>
  <c r="S19" i="3"/>
  <c r="R19" i="3"/>
  <c r="N18" i="3"/>
  <c r="M18" i="3"/>
  <c r="L18" i="3"/>
  <c r="K18" i="3"/>
  <c r="U17" i="3"/>
  <c r="S17" i="3"/>
  <c r="R17" i="3"/>
  <c r="U16" i="3"/>
  <c r="T16" i="3"/>
  <c r="S16" i="3"/>
  <c r="R16" i="3"/>
  <c r="N15" i="3"/>
  <c r="M15" i="3"/>
  <c r="L15" i="3"/>
  <c r="K15" i="3"/>
  <c r="L14" i="3"/>
  <c r="N13" i="3"/>
  <c r="M13" i="3"/>
  <c r="L13" i="3"/>
  <c r="K13" i="3"/>
  <c r="A13" i="3"/>
  <c r="N12" i="3"/>
  <c r="M12" i="3"/>
  <c r="L12" i="3"/>
  <c r="K12" i="3"/>
  <c r="A12" i="3"/>
  <c r="N11" i="3"/>
  <c r="M11" i="3"/>
  <c r="L11" i="3"/>
  <c r="K11" i="3"/>
  <c r="N10" i="3"/>
  <c r="M10" i="3"/>
  <c r="L10" i="3"/>
  <c r="K10" i="3"/>
  <c r="A10" i="3"/>
  <c r="U9" i="3"/>
  <c r="A9" i="3"/>
  <c r="N8" i="3"/>
  <c r="M8" i="3"/>
  <c r="L8" i="3"/>
  <c r="K8" i="3"/>
  <c r="N7" i="3"/>
  <c r="L7" i="3"/>
  <c r="K7" i="3"/>
  <c r="N6" i="3"/>
  <c r="M6" i="3"/>
  <c r="L6" i="3"/>
  <c r="K6" i="3"/>
  <c r="U5" i="3"/>
  <c r="T5" i="3"/>
  <c r="S5" i="3"/>
  <c r="R5" i="3"/>
  <c r="N4" i="3"/>
  <c r="M4" i="3"/>
  <c r="L4" i="3"/>
  <c r="K4" i="3"/>
  <c r="U3" i="3"/>
  <c r="T3" i="3"/>
  <c r="S3" i="3"/>
  <c r="R3" i="3"/>
  <c r="A3" i="3"/>
  <c r="A77" i="2"/>
  <c r="A76" i="2"/>
  <c r="A75" i="2"/>
  <c r="A74" i="2"/>
  <c r="A73" i="2"/>
  <c r="A72" i="2"/>
  <c r="A71" i="2"/>
  <c r="A70" i="2"/>
  <c r="A69" i="2"/>
  <c r="A66" i="2"/>
  <c r="B63" i="2"/>
  <c r="L42" i="2"/>
  <c r="A42" i="2"/>
  <c r="L41" i="2"/>
  <c r="A41" i="2"/>
  <c r="L40" i="2"/>
  <c r="L39" i="2"/>
  <c r="A39" i="2"/>
  <c r="L38" i="2"/>
  <c r="L37" i="2"/>
  <c r="L36" i="2"/>
  <c r="L35" i="2"/>
  <c r="L34" i="2"/>
  <c r="L33" i="2"/>
  <c r="L32" i="2"/>
  <c r="L31" i="2"/>
  <c r="L30" i="2"/>
  <c r="N29" i="2"/>
  <c r="M29" i="2"/>
  <c r="K29" i="2"/>
  <c r="L28" i="2"/>
  <c r="L27" i="2"/>
  <c r="L26" i="2"/>
  <c r="L25" i="2"/>
  <c r="A24" i="2"/>
  <c r="U23" i="2"/>
  <c r="L23" i="2"/>
  <c r="A23" i="2"/>
  <c r="L22" i="2"/>
  <c r="A22" i="2"/>
  <c r="L21" i="2"/>
  <c r="L20" i="2"/>
  <c r="L19" i="2"/>
  <c r="L18" i="2"/>
  <c r="A17" i="2"/>
  <c r="L16" i="2"/>
  <c r="A16" i="2"/>
  <c r="L15" i="2"/>
  <c r="L14" i="2"/>
  <c r="L13" i="2"/>
  <c r="L12" i="2"/>
  <c r="L11" i="2"/>
  <c r="L10" i="2"/>
  <c r="L9" i="2"/>
  <c r="L8" i="2"/>
  <c r="A8" i="2"/>
  <c r="L7" i="2"/>
  <c r="A7" i="2"/>
  <c r="L6" i="2"/>
  <c r="A6" i="2"/>
  <c r="L5" i="2"/>
  <c r="A5" i="2"/>
  <c r="L4" i="2"/>
  <c r="L3" i="2"/>
  <c r="A3" i="2"/>
  <c r="L36" i="1"/>
  <c r="L35" i="1"/>
  <c r="L34" i="1"/>
  <c r="L33" i="1"/>
  <c r="L32" i="1"/>
  <c r="L31" i="1"/>
  <c r="L30" i="1"/>
  <c r="L28" i="1"/>
  <c r="L27" i="1"/>
  <c r="L26" i="1"/>
  <c r="L25" i="1"/>
  <c r="L24" i="1"/>
  <c r="L23" i="1"/>
  <c r="L22" i="1"/>
  <c r="L21" i="1"/>
  <c r="L20" i="1"/>
  <c r="L19" i="1"/>
  <c r="L18" i="1"/>
  <c r="L16" i="1"/>
  <c r="L15" i="1"/>
  <c r="L13" i="1"/>
  <c r="L12" i="1"/>
  <c r="L11" i="1"/>
  <c r="L10" i="1"/>
  <c r="L9" i="1"/>
  <c r="L8" i="1"/>
  <c r="L7" i="1"/>
  <c r="L6" i="1"/>
  <c r="L5" i="1"/>
  <c r="L4" i="1"/>
  <c r="L3" i="1"/>
  <c r="F24" i="15" l="1"/>
  <c r="A3" i="12" a="1"/>
  <c r="A3" i="11" a="1"/>
  <c r="A3" i="6" a="1"/>
  <c r="A3" i="8" a="1"/>
  <c r="D23" i="15"/>
  <c r="F23" i="15" s="1"/>
  <c r="D106" i="15" l="1"/>
  <c r="A3" i="8"/>
  <c r="A4" i="8"/>
  <c r="S109" i="6"/>
  <c r="G109" i="6"/>
  <c r="Q108" i="6"/>
  <c r="E108" i="6"/>
  <c r="O107" i="6"/>
  <c r="C107" i="6"/>
  <c r="M106" i="6"/>
  <c r="A106" i="6"/>
  <c r="K105" i="6"/>
  <c r="U104" i="6"/>
  <c r="I104" i="6"/>
  <c r="S103" i="6"/>
  <c r="G103" i="6"/>
  <c r="Q102" i="6"/>
  <c r="E102" i="6"/>
  <c r="O101" i="6"/>
  <c r="C101" i="6"/>
  <c r="M100" i="6"/>
  <c r="A100" i="6"/>
  <c r="K99" i="6"/>
  <c r="U98" i="6"/>
  <c r="I98" i="6"/>
  <c r="S97" i="6"/>
  <c r="G97" i="6"/>
  <c r="Q96" i="6"/>
  <c r="E96" i="6"/>
  <c r="O95" i="6"/>
  <c r="C95" i="6"/>
  <c r="M94" i="6"/>
  <c r="A94" i="6"/>
  <c r="K93" i="6"/>
  <c r="U92" i="6"/>
  <c r="I92" i="6"/>
  <c r="S91" i="6"/>
  <c r="G91" i="6"/>
  <c r="Q90" i="6"/>
  <c r="E90" i="6"/>
  <c r="O89" i="6"/>
  <c r="C89" i="6"/>
  <c r="M88" i="6"/>
  <c r="A88" i="6"/>
  <c r="K87" i="6"/>
  <c r="U86" i="6"/>
  <c r="I86" i="6"/>
  <c r="S85" i="6"/>
  <c r="G85" i="6"/>
  <c r="Q84" i="6"/>
  <c r="E84" i="6"/>
  <c r="O83" i="6"/>
  <c r="C83" i="6"/>
  <c r="M82" i="6"/>
  <c r="A82" i="6"/>
  <c r="K81" i="6"/>
  <c r="U80" i="6"/>
  <c r="I80" i="6"/>
  <c r="S79" i="6"/>
  <c r="G79" i="6"/>
  <c r="Q78" i="6"/>
  <c r="E78" i="6"/>
  <c r="O77" i="6"/>
  <c r="C77" i="6"/>
  <c r="M76" i="6"/>
  <c r="A76" i="6"/>
  <c r="K75" i="6"/>
  <c r="U74" i="6"/>
  <c r="I74" i="6"/>
  <c r="S73" i="6"/>
  <c r="G73" i="6"/>
  <c r="Q72" i="6"/>
  <c r="E72" i="6"/>
  <c r="O71" i="6"/>
  <c r="C71" i="6"/>
  <c r="M70" i="6"/>
  <c r="A70" i="6"/>
  <c r="K69" i="6"/>
  <c r="U68" i="6"/>
  <c r="I68" i="6"/>
  <c r="S67" i="6"/>
  <c r="G67" i="6"/>
  <c r="Q66" i="6"/>
  <c r="E66" i="6"/>
  <c r="O65" i="6"/>
  <c r="C65" i="6"/>
  <c r="M109" i="6"/>
  <c r="A109" i="6"/>
  <c r="K108" i="6"/>
  <c r="U107" i="6"/>
  <c r="I107" i="6"/>
  <c r="S106" i="6"/>
  <c r="G106" i="6"/>
  <c r="Q105" i="6"/>
  <c r="E105" i="6"/>
  <c r="O104" i="6"/>
  <c r="C104" i="6"/>
  <c r="M103" i="6"/>
  <c r="A103" i="6"/>
  <c r="K102" i="6"/>
  <c r="U101" i="6"/>
  <c r="I101" i="6"/>
  <c r="S100" i="6"/>
  <c r="G100" i="6"/>
  <c r="Q99" i="6"/>
  <c r="E99" i="6"/>
  <c r="O98" i="6"/>
  <c r="C98" i="6"/>
  <c r="M97" i="6"/>
  <c r="A97" i="6"/>
  <c r="K96" i="6"/>
  <c r="U95" i="6"/>
  <c r="I95" i="6"/>
  <c r="S94" i="6"/>
  <c r="G94" i="6"/>
  <c r="Q93" i="6"/>
  <c r="E93" i="6"/>
  <c r="O92" i="6"/>
  <c r="C92" i="6"/>
  <c r="M91" i="6"/>
  <c r="A91" i="6"/>
  <c r="K90" i="6"/>
  <c r="U89" i="6"/>
  <c r="I89" i="6"/>
  <c r="S88" i="6"/>
  <c r="G88" i="6"/>
  <c r="Q87" i="6"/>
  <c r="E87" i="6"/>
  <c r="O86" i="6"/>
  <c r="C86" i="6"/>
  <c r="M85" i="6"/>
  <c r="A85" i="6"/>
  <c r="K84" i="6"/>
  <c r="U83" i="6"/>
  <c r="I83" i="6"/>
  <c r="S82" i="6"/>
  <c r="G82" i="6"/>
  <c r="Q81" i="6"/>
  <c r="E81" i="6"/>
  <c r="O80" i="6"/>
  <c r="C80" i="6"/>
  <c r="M79" i="6"/>
  <c r="A79" i="6"/>
  <c r="K78" i="6"/>
  <c r="U77" i="6"/>
  <c r="I77" i="6"/>
  <c r="S76" i="6"/>
  <c r="G76" i="6"/>
  <c r="Q75" i="6"/>
  <c r="E75" i="6"/>
  <c r="O74" i="6"/>
  <c r="C74" i="6"/>
  <c r="M73" i="6"/>
  <c r="A73" i="6"/>
  <c r="K72" i="6"/>
  <c r="U71" i="6"/>
  <c r="I71" i="6"/>
  <c r="S70" i="6"/>
  <c r="G70" i="6"/>
  <c r="Q69" i="6"/>
  <c r="E69" i="6"/>
  <c r="O68" i="6"/>
  <c r="C68" i="6"/>
  <c r="M67" i="6"/>
  <c r="A67" i="6"/>
  <c r="K66" i="6"/>
  <c r="U65" i="6"/>
  <c r="I65" i="6"/>
  <c r="S64" i="6"/>
  <c r="K109" i="6"/>
  <c r="U108" i="6"/>
  <c r="I108" i="6"/>
  <c r="S107" i="6"/>
  <c r="G107" i="6"/>
  <c r="Q106" i="6"/>
  <c r="E106" i="6"/>
  <c r="O105" i="6"/>
  <c r="C105" i="6"/>
  <c r="M104" i="6"/>
  <c r="A104" i="6"/>
  <c r="K103" i="6"/>
  <c r="U102" i="6"/>
  <c r="I102" i="6"/>
  <c r="S101" i="6"/>
  <c r="G101" i="6"/>
  <c r="Q100" i="6"/>
  <c r="E100" i="6"/>
  <c r="O99" i="6"/>
  <c r="C99" i="6"/>
  <c r="M98" i="6"/>
  <c r="A98" i="6"/>
  <c r="K97" i="6"/>
  <c r="U96" i="6"/>
  <c r="I96" i="6"/>
  <c r="S95" i="6"/>
  <c r="G95" i="6"/>
  <c r="Q94" i="6"/>
  <c r="E94" i="6"/>
  <c r="O93" i="6"/>
  <c r="C93" i="6"/>
  <c r="M92" i="6"/>
  <c r="A92" i="6"/>
  <c r="K91" i="6"/>
  <c r="U90" i="6"/>
  <c r="I90" i="6"/>
  <c r="S89" i="6"/>
  <c r="G89" i="6"/>
  <c r="Q88" i="6"/>
  <c r="E88" i="6"/>
  <c r="O87" i="6"/>
  <c r="C87" i="6"/>
  <c r="M86" i="6"/>
  <c r="A86" i="6"/>
  <c r="K85" i="6"/>
  <c r="U84" i="6"/>
  <c r="H109" i="6"/>
  <c r="N108" i="6"/>
  <c r="T107" i="6"/>
  <c r="D107" i="6"/>
  <c r="J106" i="6"/>
  <c r="P105" i="6"/>
  <c r="V104" i="6"/>
  <c r="F104" i="6"/>
  <c r="L103" i="6"/>
  <c r="R102" i="6"/>
  <c r="B102" i="6"/>
  <c r="H101" i="6"/>
  <c r="N100" i="6"/>
  <c r="T99" i="6"/>
  <c r="D99" i="6"/>
  <c r="J98" i="6"/>
  <c r="P97" i="6"/>
  <c r="V96" i="6"/>
  <c r="F96" i="6"/>
  <c r="L95" i="6"/>
  <c r="R94" i="6"/>
  <c r="B94" i="6"/>
  <c r="H93" i="6"/>
  <c r="N92" i="6"/>
  <c r="T91" i="6"/>
  <c r="D91" i="6"/>
  <c r="J90" i="6"/>
  <c r="P89" i="6"/>
  <c r="V88" i="6"/>
  <c r="F88" i="6"/>
  <c r="L87" i="6"/>
  <c r="R86" i="6"/>
  <c r="B86" i="6"/>
  <c r="H85" i="6"/>
  <c r="N84" i="6"/>
  <c r="V83" i="6"/>
  <c r="G83" i="6"/>
  <c r="O82" i="6"/>
  <c r="V81" i="6"/>
  <c r="H81" i="6"/>
  <c r="P80" i="6"/>
  <c r="A80" i="6"/>
  <c r="I79" i="6"/>
  <c r="P78" i="6"/>
  <c r="B78" i="6"/>
  <c r="J77" i="6"/>
  <c r="Q76" i="6"/>
  <c r="C76" i="6"/>
  <c r="J75" i="6"/>
  <c r="R74" i="6"/>
  <c r="D74" i="6"/>
  <c r="K73" i="6"/>
  <c r="S72" i="6"/>
  <c r="D72" i="6"/>
  <c r="L71" i="6"/>
  <c r="T70" i="6"/>
  <c r="E70" i="6"/>
  <c r="M69" i="6"/>
  <c r="T68" i="6"/>
  <c r="F68" i="6"/>
  <c r="N67" i="6"/>
  <c r="U66" i="6"/>
  <c r="G66" i="6"/>
  <c r="N65" i="6"/>
  <c r="V64" i="6"/>
  <c r="I64" i="6"/>
  <c r="S63" i="6"/>
  <c r="G63" i="6"/>
  <c r="Q62" i="6"/>
  <c r="E62" i="6"/>
  <c r="O61" i="6"/>
  <c r="C61" i="6"/>
  <c r="M60" i="6"/>
  <c r="A60" i="6"/>
  <c r="K59" i="6"/>
  <c r="U58" i="6"/>
  <c r="I58" i="6"/>
  <c r="S57" i="6"/>
  <c r="G57" i="6"/>
  <c r="Q56" i="6"/>
  <c r="E56" i="6"/>
  <c r="O55" i="6"/>
  <c r="C55" i="6"/>
  <c r="M54" i="6"/>
  <c r="A54" i="6"/>
  <c r="R109" i="6"/>
  <c r="C109" i="6"/>
  <c r="H108" i="6"/>
  <c r="N107" i="6"/>
  <c r="U106" i="6"/>
  <c r="D106" i="6"/>
  <c r="J105" i="6"/>
  <c r="Q104" i="6"/>
  <c r="V103" i="6"/>
  <c r="F103" i="6"/>
  <c r="M102" i="6"/>
  <c r="E109" i="6"/>
  <c r="G108" i="6"/>
  <c r="K107" i="6"/>
  <c r="N106" i="6"/>
  <c r="R105" i="6"/>
  <c r="S104" i="6"/>
  <c r="U103" i="6"/>
  <c r="C103" i="6"/>
  <c r="F102" i="6"/>
  <c r="K101" i="6"/>
  <c r="O100" i="6"/>
  <c r="S99" i="6"/>
  <c r="A99" i="6"/>
  <c r="F98" i="6"/>
  <c r="J97" i="6"/>
  <c r="O96" i="6"/>
  <c r="T95" i="6"/>
  <c r="B95" i="6"/>
  <c r="H94" i="6"/>
  <c r="L93" i="6"/>
  <c r="Q92" i="6"/>
  <c r="U91" i="6"/>
  <c r="C91" i="6"/>
  <c r="G90" i="6"/>
  <c r="L89" i="6"/>
  <c r="P88" i="6"/>
  <c r="U87" i="6"/>
  <c r="D87" i="6"/>
  <c r="H86" i="6"/>
  <c r="N85" i="6"/>
  <c r="R84" i="6"/>
  <c r="B84" i="6"/>
  <c r="H83" i="6"/>
  <c r="N82" i="6"/>
  <c r="T81" i="6"/>
  <c r="D81" i="6"/>
  <c r="K80" i="6"/>
  <c r="Q79" i="6"/>
  <c r="B79" i="6"/>
  <c r="H78" i="6"/>
  <c r="N77" i="6"/>
  <c r="U76" i="6"/>
  <c r="E76" i="6"/>
  <c r="L75" i="6"/>
  <c r="Q74" i="6"/>
  <c r="A74" i="6"/>
  <c r="H73" i="6"/>
  <c r="N72" i="6"/>
  <c r="T71" i="6"/>
  <c r="E71" i="6"/>
  <c r="K70" i="6"/>
  <c r="R69" i="6"/>
  <c r="B69" i="6"/>
  <c r="H68" i="6"/>
  <c r="O67" i="6"/>
  <c r="T66" i="6"/>
  <c r="D66" i="6"/>
  <c r="K65" i="6"/>
  <c r="Q64" i="6"/>
  <c r="D64" i="6"/>
  <c r="M63" i="6"/>
  <c r="V62" i="6"/>
  <c r="I62" i="6"/>
  <c r="R61" i="6"/>
  <c r="E61" i="6"/>
  <c r="N60" i="6"/>
  <c r="V59" i="6"/>
  <c r="I59" i="6"/>
  <c r="R58" i="6"/>
  <c r="E58" i="6"/>
  <c r="N57" i="6"/>
  <c r="A57" i="6"/>
  <c r="J56" i="6"/>
  <c r="S55" i="6"/>
  <c r="F55" i="6"/>
  <c r="O54" i="6"/>
  <c r="B54" i="6"/>
  <c r="K53" i="6"/>
  <c r="U52" i="6"/>
  <c r="I52" i="6"/>
  <c r="S51" i="6"/>
  <c r="G51" i="6"/>
  <c r="Q50" i="6"/>
  <c r="E50" i="6"/>
  <c r="O49" i="6"/>
  <c r="C49" i="6"/>
  <c r="M48" i="6"/>
  <c r="A48" i="6"/>
  <c r="K47" i="6"/>
  <c r="U46" i="6"/>
  <c r="I46" i="6"/>
  <c r="S45" i="6"/>
  <c r="G45" i="6"/>
  <c r="Q44" i="6"/>
  <c r="E44" i="6"/>
  <c r="O43" i="6"/>
  <c r="C43" i="6"/>
  <c r="M42" i="6"/>
  <c r="A42" i="6"/>
  <c r="K41" i="6"/>
  <c r="U40" i="6"/>
  <c r="I40" i="6"/>
  <c r="S39" i="6"/>
  <c r="G39" i="6"/>
  <c r="Q38" i="6"/>
  <c r="E38" i="6"/>
  <c r="O37" i="6"/>
  <c r="C37" i="6"/>
  <c r="M36" i="6"/>
  <c r="A36" i="6"/>
  <c r="K35" i="6"/>
  <c r="U34" i="6"/>
  <c r="I34" i="6"/>
  <c r="S33" i="6"/>
  <c r="G33" i="6"/>
  <c r="Q32" i="6"/>
  <c r="E32" i="6"/>
  <c r="O31" i="6"/>
  <c r="C31" i="6"/>
  <c r="M30" i="6"/>
  <c r="A30" i="6"/>
  <c r="K29" i="6"/>
  <c r="U28" i="6"/>
  <c r="I28" i="6"/>
  <c r="S27" i="6"/>
  <c r="G27" i="6"/>
  <c r="Q26" i="6"/>
  <c r="E26" i="6"/>
  <c r="O25" i="6"/>
  <c r="C25" i="6"/>
  <c r="M24" i="6"/>
  <c r="A24" i="6"/>
  <c r="K23" i="6"/>
  <c r="U22" i="6"/>
  <c r="I22" i="6"/>
  <c r="S21" i="6"/>
  <c r="G21" i="6"/>
  <c r="Q20" i="6"/>
  <c r="E20" i="6"/>
  <c r="O19" i="6"/>
  <c r="C19" i="6"/>
  <c r="M18" i="6"/>
  <c r="A18" i="6"/>
  <c r="K17" i="6"/>
  <c r="U16" i="6"/>
  <c r="I16" i="6"/>
  <c r="S15" i="6"/>
  <c r="G15" i="6"/>
  <c r="Q14" i="6"/>
  <c r="E14" i="6"/>
  <c r="O13" i="6"/>
  <c r="C13" i="6"/>
  <c r="M12" i="6"/>
  <c r="A12" i="6"/>
  <c r="K11" i="6"/>
  <c r="U10" i="6"/>
  <c r="I10" i="6"/>
  <c r="S9" i="6"/>
  <c r="G9" i="6"/>
  <c r="Q8" i="6"/>
  <c r="E8" i="6"/>
  <c r="O7" i="6"/>
  <c r="C7" i="6"/>
  <c r="M6" i="6"/>
  <c r="A6" i="6"/>
  <c r="K5" i="6"/>
  <c r="U4" i="6"/>
  <c r="I4" i="6"/>
  <c r="S3" i="6"/>
  <c r="U109" i="6"/>
  <c r="B109" i="6"/>
  <c r="D108" i="6"/>
  <c r="H107" i="6"/>
  <c r="K106" i="6"/>
  <c r="M105" i="6"/>
  <c r="P104" i="6"/>
  <c r="R103" i="6"/>
  <c r="V102" i="6"/>
  <c r="C102" i="6"/>
  <c r="F101" i="6"/>
  <c r="K100" i="6"/>
  <c r="P99" i="6"/>
  <c r="T98" i="6"/>
  <c r="D98" i="6"/>
  <c r="H97" i="6"/>
  <c r="M96" i="6"/>
  <c r="Q95" i="6"/>
  <c r="V94" i="6"/>
  <c r="D94" i="6"/>
  <c r="I93" i="6"/>
  <c r="L92" i="6"/>
  <c r="Q91" i="6"/>
  <c r="V90" i="6"/>
  <c r="D90" i="6"/>
  <c r="J89" i="6"/>
  <c r="N88" i="6"/>
  <c r="S87" i="6"/>
  <c r="A87" i="6"/>
  <c r="F86" i="6"/>
  <c r="J85" i="6"/>
  <c r="O84" i="6"/>
  <c r="T83" i="6"/>
  <c r="E83" i="6"/>
  <c r="K82" i="6"/>
  <c r="R81" i="6"/>
  <c r="B81" i="6"/>
  <c r="H80" i="6"/>
  <c r="O79" i="6"/>
  <c r="Q109" i="6"/>
  <c r="T108" i="6"/>
  <c r="B108" i="6"/>
  <c r="E107" i="6"/>
  <c r="H106" i="6"/>
  <c r="I105" i="6"/>
  <c r="L104" i="6"/>
  <c r="P103" i="6"/>
  <c r="S102" i="6"/>
  <c r="V101" i="6"/>
  <c r="D101" i="6"/>
  <c r="I100" i="6"/>
  <c r="M99" i="6"/>
  <c r="R98" i="6"/>
  <c r="V97" i="6"/>
  <c r="E97" i="6"/>
  <c r="J96" i="6"/>
  <c r="N95" i="6"/>
  <c r="T94" i="6"/>
  <c r="V93" i="6"/>
  <c r="F93" i="6"/>
  <c r="J92" i="6"/>
  <c r="O91" i="6"/>
  <c r="S90" i="6"/>
  <c r="B90" i="6"/>
  <c r="F89" i="6"/>
  <c r="K88" i="6"/>
  <c r="P87" i="6"/>
  <c r="T86" i="6"/>
  <c r="D86" i="6"/>
  <c r="F85" i="6"/>
  <c r="L84" i="6"/>
  <c r="R83" i="6"/>
  <c r="B83" i="6"/>
  <c r="I82" i="6"/>
  <c r="O81" i="6"/>
  <c r="V80" i="6"/>
  <c r="F80" i="6"/>
  <c r="L79" i="6"/>
  <c r="S78" i="6"/>
  <c r="C78" i="6"/>
  <c r="H77" i="6"/>
  <c r="O76" i="6"/>
  <c r="U75" i="6"/>
  <c r="F75" i="6"/>
  <c r="L74" i="6"/>
  <c r="R73" i="6"/>
  <c r="C73" i="6"/>
  <c r="I72" i="6"/>
  <c r="P71" i="6"/>
  <c r="V70" i="6"/>
  <c r="F70" i="6"/>
  <c r="L69" i="6"/>
  <c r="R68" i="6"/>
  <c r="B68" i="6"/>
  <c r="I67" i="6"/>
  <c r="O66" i="6"/>
  <c r="V65" i="6"/>
  <c r="F65" i="6"/>
  <c r="M64" i="6"/>
  <c r="V63" i="6"/>
  <c r="I63" i="6"/>
  <c r="R62" i="6"/>
  <c r="D62" i="6"/>
  <c r="M61" i="6"/>
  <c r="V60" i="6"/>
  <c r="I60" i="6"/>
  <c r="R59" i="6"/>
  <c r="E59" i="6"/>
  <c r="N58" i="6"/>
  <c r="A58" i="6"/>
  <c r="J57" i="6"/>
  <c r="S56" i="6"/>
  <c r="F56" i="6"/>
  <c r="N55" i="6"/>
  <c r="A55" i="6"/>
  <c r="J54" i="6"/>
  <c r="S53" i="6"/>
  <c r="G53" i="6"/>
  <c r="Q52" i="6"/>
  <c r="E52" i="6"/>
  <c r="O51" i="6"/>
  <c r="C51" i="6"/>
  <c r="M50" i="6"/>
  <c r="A50" i="6"/>
  <c r="S108" i="6"/>
  <c r="Q107" i="6"/>
  <c r="O106" i="6"/>
  <c r="H105" i="6"/>
  <c r="G104" i="6"/>
  <c r="D103" i="6"/>
  <c r="T101" i="6"/>
  <c r="U100" i="6"/>
  <c r="U99" i="6"/>
  <c r="Q98" i="6"/>
  <c r="Q97" i="6"/>
  <c r="P96" i="6"/>
  <c r="M95" i="6"/>
  <c r="L94" i="6"/>
  <c r="M93" i="6"/>
  <c r="H92" i="6"/>
  <c r="I91" i="6"/>
  <c r="H90" i="6"/>
  <c r="E89" i="6"/>
  <c r="D88" i="6"/>
  <c r="F87" i="6"/>
  <c r="V85" i="6"/>
  <c r="B85" i="6"/>
  <c r="C84" i="6"/>
  <c r="A83" i="6"/>
  <c r="D82" i="6"/>
  <c r="F81" i="6"/>
  <c r="E80" i="6"/>
  <c r="F79" i="6"/>
  <c r="J78" i="6"/>
  <c r="M77" i="6"/>
  <c r="P76" i="6"/>
  <c r="S75" i="6"/>
  <c r="A75" i="6"/>
  <c r="E74" i="6"/>
  <c r="F73" i="6"/>
  <c r="J72" i="6"/>
  <c r="M71" i="6"/>
  <c r="P70" i="6"/>
  <c r="T69" i="6"/>
  <c r="A69" i="6"/>
  <c r="D68" i="6"/>
  <c r="F67" i="6"/>
  <c r="J66" i="6"/>
  <c r="M65" i="6"/>
  <c r="P64" i="6"/>
  <c r="A64" i="6"/>
  <c r="F63" i="6"/>
  <c r="M62" i="6"/>
  <c r="T61" i="6"/>
  <c r="D61" i="6"/>
  <c r="J60" i="6"/>
  <c r="P59" i="6"/>
  <c r="A59" i="6"/>
  <c r="G58" i="6"/>
  <c r="M57" i="6"/>
  <c r="T56" i="6"/>
  <c r="C56" i="6"/>
  <c r="J55" i="6"/>
  <c r="Q54" i="6"/>
  <c r="V53" i="6"/>
  <c r="H53" i="6"/>
  <c r="O52" i="6"/>
  <c r="A52" i="6"/>
  <c r="I51" i="6"/>
  <c r="P50" i="6"/>
  <c r="B50" i="6"/>
  <c r="J49" i="6"/>
  <c r="S48" i="6"/>
  <c r="F48" i="6"/>
  <c r="O47" i="6"/>
  <c r="B47" i="6"/>
  <c r="K46" i="6"/>
  <c r="T45" i="6"/>
  <c r="F45" i="6"/>
  <c r="O44" i="6"/>
  <c r="B44" i="6"/>
  <c r="K43" i="6"/>
  <c r="T42" i="6"/>
  <c r="G42" i="6"/>
  <c r="P41" i="6"/>
  <c r="C41" i="6"/>
  <c r="L40" i="6"/>
  <c r="U39" i="6"/>
  <c r="H39" i="6"/>
  <c r="P38" i="6"/>
  <c r="C38" i="6"/>
  <c r="L37" i="6"/>
  <c r="U36" i="6"/>
  <c r="H36" i="6"/>
  <c r="Q35" i="6"/>
  <c r="D35" i="6"/>
  <c r="M34" i="6"/>
  <c r="V33" i="6"/>
  <c r="I33" i="6"/>
  <c r="R32" i="6"/>
  <c r="D32" i="6"/>
  <c r="M31" i="6"/>
  <c r="V30" i="6"/>
  <c r="I30" i="6"/>
  <c r="R29" i="6"/>
  <c r="E29" i="6"/>
  <c r="N28" i="6"/>
  <c r="A28" i="6"/>
  <c r="J27" i="6"/>
  <c r="S26" i="6"/>
  <c r="F26" i="6"/>
  <c r="N25" i="6"/>
  <c r="A25" i="6"/>
  <c r="J24" i="6"/>
  <c r="S23" i="6"/>
  <c r="F23" i="6"/>
  <c r="O22" i="6"/>
  <c r="B22" i="6"/>
  <c r="K21" i="6"/>
  <c r="T20" i="6"/>
  <c r="G20" i="6"/>
  <c r="P19" i="6"/>
  <c r="B19" i="6"/>
  <c r="K18" i="6"/>
  <c r="T17" i="6"/>
  <c r="G17" i="6"/>
  <c r="P16" i="6"/>
  <c r="C16" i="6"/>
  <c r="L15" i="6"/>
  <c r="U14" i="6"/>
  <c r="H14" i="6"/>
  <c r="Q13" i="6"/>
  <c r="D13" i="6"/>
  <c r="L12" i="6"/>
  <c r="U11" i="6"/>
  <c r="H11" i="6"/>
  <c r="Q10" i="6"/>
  <c r="D10" i="6"/>
  <c r="M9" i="6"/>
  <c r="V8" i="6"/>
  <c r="I8" i="6"/>
  <c r="R7" i="6"/>
  <c r="E7" i="6"/>
  <c r="N6" i="6"/>
  <c r="V5" i="6"/>
  <c r="I5" i="6"/>
  <c r="R4" i="6"/>
  <c r="E4" i="6"/>
  <c r="N3" i="6"/>
  <c r="B3" i="6"/>
  <c r="V109" i="6"/>
  <c r="R108" i="6"/>
  <c r="P107" i="6"/>
  <c r="L106" i="6"/>
  <c r="G105" i="6"/>
  <c r="E104" i="6"/>
  <c r="B103" i="6"/>
  <c r="R101" i="6"/>
  <c r="T100" i="6"/>
  <c r="R99" i="6"/>
  <c r="P98" i="6"/>
  <c r="O97" i="6"/>
  <c r="N96" i="6"/>
  <c r="K95" i="6"/>
  <c r="K94" i="6"/>
  <c r="J93" i="6"/>
  <c r="G92" i="6"/>
  <c r="H91" i="6"/>
  <c r="F90" i="6"/>
  <c r="D89" i="6"/>
  <c r="C88" i="6"/>
  <c r="B87" i="6"/>
  <c r="U85" i="6"/>
  <c r="V84" i="6"/>
  <c r="A84" i="6"/>
  <c r="V82" i="6"/>
  <c r="C82" i="6"/>
  <c r="C81" i="6"/>
  <c r="D80" i="6"/>
  <c r="E79" i="6"/>
  <c r="I78" i="6"/>
  <c r="L77" i="6"/>
  <c r="N76" i="6"/>
  <c r="R75" i="6"/>
  <c r="V74" i="6"/>
  <c r="B74" i="6"/>
  <c r="E73" i="6"/>
  <c r="H72" i="6"/>
  <c r="K71" i="6"/>
  <c r="O70" i="6"/>
  <c r="S69" i="6"/>
  <c r="V68" i="6"/>
  <c r="A68" i="6"/>
  <c r="E67" i="6"/>
  <c r="I66" i="6"/>
  <c r="L65" i="6"/>
  <c r="O64" i="6"/>
  <c r="U63" i="6"/>
  <c r="E63" i="6"/>
  <c r="L62" i="6"/>
  <c r="S61" i="6"/>
  <c r="B61" i="6"/>
  <c r="H60" i="6"/>
  <c r="O59" i="6"/>
  <c r="V58" i="6"/>
  <c r="F58" i="6"/>
  <c r="L57" i="6"/>
  <c r="R56" i="6"/>
  <c r="T109" i="6"/>
  <c r="P108" i="6"/>
  <c r="M107" i="6"/>
  <c r="I106" i="6"/>
  <c r="F105" i="6"/>
  <c r="D104" i="6"/>
  <c r="T102" i="6"/>
  <c r="Q101" i="6"/>
  <c r="R100" i="6"/>
  <c r="N99" i="6"/>
  <c r="N98" i="6"/>
  <c r="N97" i="6"/>
  <c r="L96" i="6"/>
  <c r="J95" i="6"/>
  <c r="J94" i="6"/>
  <c r="G93" i="6"/>
  <c r="F92" i="6"/>
  <c r="F91" i="6"/>
  <c r="C90" i="6"/>
  <c r="B89" i="6"/>
  <c r="B88" i="6"/>
  <c r="V86" i="6"/>
  <c r="T85" i="6"/>
  <c r="T84" i="6"/>
  <c r="S83" i="6"/>
  <c r="U82" i="6"/>
  <c r="B82" i="6"/>
  <c r="A81" i="6"/>
  <c r="B80" i="6"/>
  <c r="D79" i="6"/>
  <c r="G78" i="6"/>
  <c r="K77" i="6"/>
  <c r="L76" i="6"/>
  <c r="P75" i="6"/>
  <c r="T74" i="6"/>
  <c r="V73" i="6"/>
  <c r="D73" i="6"/>
  <c r="G72" i="6"/>
  <c r="J71" i="6"/>
  <c r="N70" i="6"/>
  <c r="P69" i="6"/>
  <c r="S68" i="6"/>
  <c r="V67" i="6"/>
  <c r="D67" i="6"/>
  <c r="H66" i="6"/>
  <c r="J65" i="6"/>
  <c r="N64" i="6"/>
  <c r="T63" i="6"/>
  <c r="D63" i="6"/>
  <c r="K62" i="6"/>
  <c r="Q61" i="6"/>
  <c r="A61" i="6"/>
  <c r="G60" i="6"/>
  <c r="N59" i="6"/>
  <c r="T58" i="6"/>
  <c r="D58" i="6"/>
  <c r="K57" i="6"/>
  <c r="P56" i="6"/>
  <c r="A56" i="6"/>
  <c r="H55" i="6"/>
  <c r="N54" i="6"/>
  <c r="T53" i="6"/>
  <c r="E53" i="6"/>
  <c r="M52" i="6"/>
  <c r="U51" i="6"/>
  <c r="F51" i="6"/>
  <c r="N50" i="6"/>
  <c r="U49" i="6"/>
  <c r="H49" i="6"/>
  <c r="Q48" i="6"/>
  <c r="D48" i="6"/>
  <c r="M47" i="6"/>
  <c r="V46" i="6"/>
  <c r="H46" i="6"/>
  <c r="Q45" i="6"/>
  <c r="D45" i="6"/>
  <c r="M44" i="6"/>
  <c r="V43" i="6"/>
  <c r="I43" i="6"/>
  <c r="R42" i="6"/>
  <c r="E42" i="6"/>
  <c r="N41" i="6"/>
  <c r="A41" i="6"/>
  <c r="J40" i="6"/>
  <c r="R39" i="6"/>
  <c r="L108" i="6"/>
  <c r="V106" i="6"/>
  <c r="L105" i="6"/>
  <c r="Q103" i="6"/>
  <c r="H102" i="6"/>
  <c r="V100" i="6"/>
  <c r="I99" i="6"/>
  <c r="B98" i="6"/>
  <c r="R96" i="6"/>
  <c r="E95" i="6"/>
  <c r="S93" i="6"/>
  <c r="K92" i="6"/>
  <c r="T90" i="6"/>
  <c r="N89" i="6"/>
  <c r="H88" i="6"/>
  <c r="P86" i="6"/>
  <c r="I85" i="6"/>
  <c r="D84" i="6"/>
  <c r="Q82" i="6"/>
  <c r="L81" i="6"/>
  <c r="G80" i="6"/>
  <c r="U78" i="6"/>
  <c r="S77" i="6"/>
  <c r="R76" i="6"/>
  <c r="M75" i="6"/>
  <c r="J74" i="6"/>
  <c r="I73" i="6"/>
  <c r="B72" i="6"/>
  <c r="A71" i="6"/>
  <c r="U69" i="6"/>
  <c r="N68" i="6"/>
  <c r="L67" i="6"/>
  <c r="L66" i="6"/>
  <c r="E65" i="6"/>
  <c r="F64" i="6"/>
  <c r="H63" i="6"/>
  <c r="G62" i="6"/>
  <c r="I61" i="6"/>
  <c r="K60" i="6"/>
  <c r="J59" i="6"/>
  <c r="L58" i="6"/>
  <c r="O57" i="6"/>
  <c r="M56" i="6"/>
  <c r="Q55" i="6"/>
  <c r="T54" i="6"/>
  <c r="C54" i="6"/>
  <c r="D53" i="6"/>
  <c r="J52" i="6"/>
  <c r="N51" i="6"/>
  <c r="T50" i="6"/>
  <c r="C50" i="6"/>
  <c r="G49" i="6"/>
  <c r="N48" i="6"/>
  <c r="T47" i="6"/>
  <c r="E47" i="6"/>
  <c r="L46" i="6"/>
  <c r="P45" i="6"/>
  <c r="A45" i="6"/>
  <c r="H44" i="6"/>
  <c r="N43" i="6"/>
  <c r="U42" i="6"/>
  <c r="D42" i="6"/>
  <c r="J41" i="6"/>
  <c r="Q40" i="6"/>
  <c r="B40" i="6"/>
  <c r="I39" i="6"/>
  <c r="O38" i="6"/>
  <c r="A38" i="6"/>
  <c r="I37" i="6"/>
  <c r="Q36" i="6"/>
  <c r="C36" i="6"/>
  <c r="J35" i="6"/>
  <c r="R34" i="6"/>
  <c r="D34" i="6"/>
  <c r="L33" i="6"/>
  <c r="T32" i="6"/>
  <c r="F32" i="6"/>
  <c r="L31" i="6"/>
  <c r="T30" i="6"/>
  <c r="F30" i="6"/>
  <c r="N29" i="6"/>
  <c r="V28" i="6"/>
  <c r="G28" i="6"/>
  <c r="O27" i="6"/>
  <c r="A27" i="6"/>
  <c r="P109" i="6"/>
  <c r="J108" i="6"/>
  <c r="T106" i="6"/>
  <c r="D105" i="6"/>
  <c r="O103" i="6"/>
  <c r="G102" i="6"/>
  <c r="P100" i="6"/>
  <c r="H99" i="6"/>
  <c r="U97" i="6"/>
  <c r="H96" i="6"/>
  <c r="D95" i="6"/>
  <c r="R93" i="6"/>
  <c r="E92" i="6"/>
  <c r="R90" i="6"/>
  <c r="M89" i="6"/>
  <c r="V87" i="6"/>
  <c r="N86" i="6"/>
  <c r="E85" i="6"/>
  <c r="Q83" i="6"/>
  <c r="P82" i="6"/>
  <c r="J81" i="6"/>
  <c r="V79" i="6"/>
  <c r="T78" i="6"/>
  <c r="R77" i="6"/>
  <c r="K76" i="6"/>
  <c r="I75" i="6"/>
  <c r="H74" i="6"/>
  <c r="B73" i="6"/>
  <c r="A72" i="6"/>
  <c r="U70" i="6"/>
  <c r="O69" i="6"/>
  <c r="M68" i="6"/>
  <c r="K67" i="6"/>
  <c r="F66" i="6"/>
  <c r="D65" i="6"/>
  <c r="E64" i="6"/>
  <c r="C63" i="6"/>
  <c r="F62" i="6"/>
  <c r="H61" i="6"/>
  <c r="F60" i="6"/>
  <c r="H59" i="6"/>
  <c r="K58" i="6"/>
  <c r="I57" i="6"/>
  <c r="L56" i="6"/>
  <c r="P55" i="6"/>
  <c r="S54" i="6"/>
  <c r="U53" i="6"/>
  <c r="C53" i="6"/>
  <c r="H52" i="6"/>
  <c r="M51" i="6"/>
  <c r="S50" i="6"/>
  <c r="V49" i="6"/>
  <c r="F49" i="6"/>
  <c r="L48" i="6"/>
  <c r="S47" i="6"/>
  <c r="D47" i="6"/>
  <c r="J46" i="6"/>
  <c r="O45" i="6"/>
  <c r="V44" i="6"/>
  <c r="G44" i="6"/>
  <c r="M43" i="6"/>
  <c r="S42" i="6"/>
  <c r="C42" i="6"/>
  <c r="I41" i="6"/>
  <c r="P40" i="6"/>
  <c r="A40" i="6"/>
  <c r="F39" i="6"/>
  <c r="N38" i="6"/>
  <c r="V37" i="6"/>
  <c r="H37" i="6"/>
  <c r="P36" i="6"/>
  <c r="B36" i="6"/>
  <c r="I35" i="6"/>
  <c r="Q34" i="6"/>
  <c r="C34" i="6"/>
  <c r="K33" i="6"/>
  <c r="S32" i="6"/>
  <c r="C32" i="6"/>
  <c r="K31" i="6"/>
  <c r="S30" i="6"/>
  <c r="E30" i="6"/>
  <c r="M29" i="6"/>
  <c r="T28" i="6"/>
  <c r="F28" i="6"/>
  <c r="N27" i="6"/>
  <c r="O109" i="6"/>
  <c r="F108" i="6"/>
  <c r="R106" i="6"/>
  <c r="B105" i="6"/>
  <c r="N103" i="6"/>
  <c r="D102" i="6"/>
  <c r="L100" i="6"/>
  <c r="G99" i="6"/>
  <c r="V107" i="6"/>
  <c r="U105" i="6"/>
  <c r="T103" i="6"/>
  <c r="N101" i="6"/>
  <c r="B100" i="6"/>
  <c r="E98" i="6"/>
  <c r="D96" i="6"/>
  <c r="O94" i="6"/>
  <c r="V92" i="6"/>
  <c r="J91" i="6"/>
  <c r="Q89" i="6"/>
  <c r="R87" i="6"/>
  <c r="G86" i="6"/>
  <c r="J84" i="6"/>
  <c r="D83" i="6"/>
  <c r="M81" i="6"/>
  <c r="T79" i="6"/>
  <c r="M78" i="6"/>
  <c r="D77" i="6"/>
  <c r="T75" i="6"/>
  <c r="K74" i="6"/>
  <c r="U72" i="6"/>
  <c r="Q71" i="6"/>
  <c r="H70" i="6"/>
  <c r="C69" i="6"/>
  <c r="P67" i="6"/>
  <c r="B66" i="6"/>
  <c r="T64" i="6"/>
  <c r="O63" i="6"/>
  <c r="N62" i="6"/>
  <c r="J61" i="6"/>
  <c r="D60" i="6"/>
  <c r="C59" i="6"/>
  <c r="U57" i="6"/>
  <c r="U56" i="6"/>
  <c r="R55" i="6"/>
  <c r="P54" i="6"/>
  <c r="O53" i="6"/>
  <c r="R52" i="6"/>
  <c r="R51" i="6"/>
  <c r="U50" i="6"/>
  <c r="S49" i="6"/>
  <c r="A49" i="6"/>
  <c r="E48" i="6"/>
  <c r="H47" i="6"/>
  <c r="M46" i="6"/>
  <c r="M45" i="6"/>
  <c r="R44" i="6"/>
  <c r="T43" i="6"/>
  <c r="B43" i="6"/>
  <c r="F42" i="6"/>
  <c r="G41" i="6"/>
  <c r="K40" i="6"/>
  <c r="N39" i="6"/>
  <c r="T38" i="6"/>
  <c r="B38" i="6"/>
  <c r="F37" i="6"/>
  <c r="K36" i="6"/>
  <c r="P35" i="6"/>
  <c r="V34" i="6"/>
  <c r="E34" i="6"/>
  <c r="H33" i="6"/>
  <c r="M32" i="6"/>
  <c r="S31" i="6"/>
  <c r="B31" i="6"/>
  <c r="G30" i="6"/>
  <c r="J29" i="6"/>
  <c r="P28" i="6"/>
  <c r="U27" i="6"/>
  <c r="D27" i="6"/>
  <c r="K26" i="6"/>
  <c r="S25" i="6"/>
  <c r="E25" i="6"/>
  <c r="L24" i="6"/>
  <c r="T23" i="6"/>
  <c r="E23" i="6"/>
  <c r="M22" i="6"/>
  <c r="U21" i="6"/>
  <c r="F21" i="6"/>
  <c r="N20" i="6"/>
  <c r="V19" i="6"/>
  <c r="H19" i="6"/>
  <c r="P18" i="6"/>
  <c r="B18" i="6"/>
  <c r="I17" i="6"/>
  <c r="Q16" i="6"/>
  <c r="B16" i="6"/>
  <c r="J15" i="6"/>
  <c r="R14" i="6"/>
  <c r="C14" i="6"/>
  <c r="K13" i="6"/>
  <c r="S12" i="6"/>
  <c r="E12" i="6"/>
  <c r="M11" i="6"/>
  <c r="T10" i="6"/>
  <c r="F10" i="6"/>
  <c r="N9" i="6"/>
  <c r="U8" i="6"/>
  <c r="G8" i="6"/>
  <c r="N7" i="6"/>
  <c r="V6" i="6"/>
  <c r="H6" i="6"/>
  <c r="P5" i="6"/>
  <c r="B5" i="6"/>
  <c r="J4" i="6"/>
  <c r="Q3" i="6"/>
  <c r="D3" i="6"/>
  <c r="N109" i="6"/>
  <c r="R107" i="6"/>
  <c r="T105" i="6"/>
  <c r="J103" i="6"/>
  <c r="M101" i="6"/>
  <c r="V99" i="6"/>
  <c r="T97" i="6"/>
  <c r="C96" i="6"/>
  <c r="N94" i="6"/>
  <c r="T92" i="6"/>
  <c r="E91" i="6"/>
  <c r="K89" i="6"/>
  <c r="N87" i="6"/>
  <c r="E86" i="6"/>
  <c r="I84" i="6"/>
  <c r="T82" i="6"/>
  <c r="I81" i="6"/>
  <c r="R79" i="6"/>
  <c r="L78" i="6"/>
  <c r="B77" i="6"/>
  <c r="O75" i="6"/>
  <c r="G74" i="6"/>
  <c r="T72" i="6"/>
  <c r="N71" i="6"/>
  <c r="D70" i="6"/>
  <c r="Q68" i="6"/>
  <c r="J67" i="6"/>
  <c r="A66" i="6"/>
  <c r="R64" i="6"/>
  <c r="N63" i="6"/>
  <c r="J62" i="6"/>
  <c r="G61" i="6"/>
  <c r="C60" i="6"/>
  <c r="B59" i="6"/>
  <c r="T57" i="6"/>
  <c r="O56" i="6"/>
  <c r="M55" i="6"/>
  <c r="L54" i="6"/>
  <c r="N53" i="6"/>
  <c r="P52" i="6"/>
  <c r="Q51" i="6"/>
  <c r="R50" i="6"/>
  <c r="R49" i="6"/>
  <c r="V48" i="6"/>
  <c r="C48" i="6"/>
  <c r="G47" i="6"/>
  <c r="G46" i="6"/>
  <c r="L45" i="6"/>
  <c r="P44" i="6"/>
  <c r="S43" i="6"/>
  <c r="A43" i="6"/>
  <c r="B42" i="6"/>
  <c r="F41" i="6"/>
  <c r="H40" i="6"/>
  <c r="M39" i="6"/>
  <c r="S38" i="6"/>
  <c r="U37" i="6"/>
  <c r="E37" i="6"/>
  <c r="J36" i="6"/>
  <c r="O35" i="6"/>
  <c r="T34" i="6"/>
  <c r="B34" i="6"/>
  <c r="F33" i="6"/>
  <c r="L32" i="6"/>
  <c r="R31" i="6"/>
  <c r="A31" i="6"/>
  <c r="D30" i="6"/>
  <c r="I29" i="6"/>
  <c r="O28" i="6"/>
  <c r="T27" i="6"/>
  <c r="C27" i="6"/>
  <c r="J26" i="6"/>
  <c r="R25" i="6"/>
  <c r="D25" i="6"/>
  <c r="K24" i="6"/>
  <c r="R23" i="6"/>
  <c r="D23" i="6"/>
  <c r="L22" i="6"/>
  <c r="T21" i="6"/>
  <c r="E21" i="6"/>
  <c r="M20" i="6"/>
  <c r="U19" i="6"/>
  <c r="G19" i="6"/>
  <c r="O18" i="6"/>
  <c r="V17" i="6"/>
  <c r="H17" i="6"/>
  <c r="O16" i="6"/>
  <c r="A16" i="6"/>
  <c r="I15" i="6"/>
  <c r="P14" i="6"/>
  <c r="B14" i="6"/>
  <c r="J13" i="6"/>
  <c r="R12" i="6"/>
  <c r="D12" i="6"/>
  <c r="L11" i="6"/>
  <c r="S10" i="6"/>
  <c r="E10" i="6"/>
  <c r="L9" i="6"/>
  <c r="T8" i="6"/>
  <c r="F8" i="6"/>
  <c r="M7" i="6"/>
  <c r="U6" i="6"/>
  <c r="G6" i="6"/>
  <c r="O5" i="6"/>
  <c r="A5" i="6"/>
  <c r="H4" i="6"/>
  <c r="P3" i="6"/>
  <c r="C3" i="6"/>
  <c r="L109" i="6"/>
  <c r="L107" i="6"/>
  <c r="S105" i="6"/>
  <c r="I103" i="6"/>
  <c r="L101" i="6"/>
  <c r="L99" i="6"/>
  <c r="R97" i="6"/>
  <c r="B96" i="6"/>
  <c r="I94" i="6"/>
  <c r="S92" i="6"/>
  <c r="B91" i="6"/>
  <c r="H89" i="6"/>
  <c r="M87" i="6"/>
  <c r="R85" i="6"/>
  <c r="H84" i="6"/>
  <c r="R82" i="6"/>
  <c r="G81" i="6"/>
  <c r="P79" i="6"/>
  <c r="F78" i="6"/>
  <c r="A77" i="6"/>
  <c r="N75" i="6"/>
  <c r="F74" i="6"/>
  <c r="R72" i="6"/>
  <c r="H71" i="6"/>
  <c r="C70" i="6"/>
  <c r="P68" i="6"/>
  <c r="H67" i="6"/>
  <c r="T65" i="6"/>
  <c r="L64" i="6"/>
  <c r="L63" i="6"/>
  <c r="H62" i="6"/>
  <c r="F61" i="6"/>
  <c r="B60" i="6"/>
  <c r="S58" i="6"/>
  <c r="R57" i="6"/>
  <c r="N56" i="6"/>
  <c r="L55" i="6"/>
  <c r="K54" i="6"/>
  <c r="M53" i="6"/>
  <c r="N52" i="6"/>
  <c r="P51" i="6"/>
  <c r="O50" i="6"/>
  <c r="Q49" i="6"/>
  <c r="U48" i="6"/>
  <c r="B48" i="6"/>
  <c r="F47" i="6"/>
  <c r="F46" i="6"/>
  <c r="K45" i="6"/>
  <c r="N44" i="6"/>
  <c r="R43" i="6"/>
  <c r="V42" i="6"/>
  <c r="V41" i="6"/>
  <c r="E41" i="6"/>
  <c r="G40" i="6"/>
  <c r="L39" i="6"/>
  <c r="R38" i="6"/>
  <c r="T37" i="6"/>
  <c r="D37" i="6"/>
  <c r="I36" i="6"/>
  <c r="N35" i="6"/>
  <c r="S34" i="6"/>
  <c r="A34" i="6"/>
  <c r="E33" i="6"/>
  <c r="K32" i="6"/>
  <c r="Q31" i="6"/>
  <c r="U30" i="6"/>
  <c r="C30" i="6"/>
  <c r="H29" i="6"/>
  <c r="M28" i="6"/>
  <c r="R27" i="6"/>
  <c r="B27" i="6"/>
  <c r="I26" i="6"/>
  <c r="Q25" i="6"/>
  <c r="B25" i="6"/>
  <c r="I24" i="6"/>
  <c r="Q23" i="6"/>
  <c r="C23" i="6"/>
  <c r="K22" i="6"/>
  <c r="R21" i="6"/>
  <c r="D21" i="6"/>
  <c r="L20" i="6"/>
  <c r="T19" i="6"/>
  <c r="F19" i="6"/>
  <c r="N18" i="6"/>
  <c r="U17" i="6"/>
  <c r="F17" i="6"/>
  <c r="N16" i="6"/>
  <c r="V15" i="6"/>
  <c r="H15" i="6"/>
  <c r="O14" i="6"/>
  <c r="A14" i="6"/>
  <c r="I13" i="6"/>
  <c r="Q12" i="6"/>
  <c r="C12" i="6"/>
  <c r="J11" i="6"/>
  <c r="R10" i="6"/>
  <c r="C10" i="6"/>
  <c r="K9" i="6"/>
  <c r="S8" i="6"/>
  <c r="D8" i="6"/>
  <c r="L7" i="6"/>
  <c r="T6" i="6"/>
  <c r="F6" i="6"/>
  <c r="N5" i="6"/>
  <c r="V4" i="6"/>
  <c r="G4" i="6"/>
  <c r="O3" i="6"/>
  <c r="J109" i="6"/>
  <c r="J107" i="6"/>
  <c r="N105" i="6"/>
  <c r="H103" i="6"/>
  <c r="J101" i="6"/>
  <c r="J99" i="6"/>
  <c r="L97" i="6"/>
  <c r="A96" i="6"/>
  <c r="F94" i="6"/>
  <c r="R92" i="6"/>
  <c r="P90" i="6"/>
  <c r="A89" i="6"/>
  <c r="J87" i="6"/>
  <c r="Q85" i="6"/>
  <c r="G84" i="6"/>
  <c r="L82" i="6"/>
  <c r="T80" i="6"/>
  <c r="N79" i="6"/>
  <c r="D78" i="6"/>
  <c r="V76" i="6"/>
  <c r="H75" i="6"/>
  <c r="U73" i="6"/>
  <c r="P72" i="6"/>
  <c r="G71" i="6"/>
  <c r="B70" i="6"/>
  <c r="L68" i="6"/>
  <c r="C67" i="6"/>
  <c r="S65" i="6"/>
  <c r="K64" i="6"/>
  <c r="K63" i="6"/>
  <c r="C62" i="6"/>
  <c r="U60" i="6"/>
  <c r="U59" i="6"/>
  <c r="Q58" i="6"/>
  <c r="Q57" i="6"/>
  <c r="K56" i="6"/>
  <c r="K55" i="6"/>
  <c r="I54" i="6"/>
  <c r="L53" i="6"/>
  <c r="L52" i="6"/>
  <c r="L51" i="6"/>
  <c r="L50" i="6"/>
  <c r="P49" i="6"/>
  <c r="T48" i="6"/>
  <c r="V47" i="6"/>
  <c r="C47" i="6"/>
  <c r="E46" i="6"/>
  <c r="J45" i="6"/>
  <c r="L44" i="6"/>
  <c r="Q43" i="6"/>
  <c r="Q42" i="6"/>
  <c r="U41" i="6"/>
  <c r="D41" i="6"/>
  <c r="F40" i="6"/>
  <c r="K39" i="6"/>
  <c r="M38" i="6"/>
  <c r="S37" i="6"/>
  <c r="B37" i="6"/>
  <c r="G36" i="6"/>
  <c r="M35" i="6"/>
  <c r="P34" i="6"/>
  <c r="U33" i="6"/>
  <c r="D33" i="6"/>
  <c r="J32" i="6"/>
  <c r="P31" i="6"/>
  <c r="R30" i="6"/>
  <c r="B30" i="6"/>
  <c r="G29" i="6"/>
  <c r="L28" i="6"/>
  <c r="Q27" i="6"/>
  <c r="V26" i="6"/>
  <c r="H26" i="6"/>
  <c r="P25" i="6"/>
  <c r="V24" i="6"/>
  <c r="H24" i="6"/>
  <c r="P23" i="6"/>
  <c r="B23" i="6"/>
  <c r="J22" i="6"/>
  <c r="Q21" i="6"/>
  <c r="C21" i="6"/>
  <c r="K20" i="6"/>
  <c r="S19" i="6"/>
  <c r="E19" i="6"/>
  <c r="L18" i="6"/>
  <c r="S17" i="6"/>
  <c r="E17" i="6"/>
  <c r="M16" i="6"/>
  <c r="U15" i="6"/>
  <c r="F15" i="6"/>
  <c r="N14" i="6"/>
  <c r="V13" i="6"/>
  <c r="H13" i="6"/>
  <c r="P12" i="6"/>
  <c r="B12" i="6"/>
  <c r="I11" i="6"/>
  <c r="P10" i="6"/>
  <c r="B10" i="6"/>
  <c r="J9" i="6"/>
  <c r="R8" i="6"/>
  <c r="C8" i="6"/>
  <c r="K7" i="6"/>
  <c r="S6" i="6"/>
  <c r="E6" i="6"/>
  <c r="M5" i="6"/>
  <c r="T4" i="6"/>
  <c r="F4" i="6"/>
  <c r="M3" i="6"/>
  <c r="A3" i="6"/>
  <c r="I109" i="6"/>
  <c r="F107" i="6"/>
  <c r="A105" i="6"/>
  <c r="E103" i="6"/>
  <c r="E101" i="6"/>
  <c r="F99" i="6"/>
  <c r="I97" i="6"/>
  <c r="V95" i="6"/>
  <c r="C94" i="6"/>
  <c r="P92" i="6"/>
  <c r="O90" i="6"/>
  <c r="U88" i="6"/>
  <c r="I87" i="6"/>
  <c r="P85" i="6"/>
  <c r="F84" i="6"/>
  <c r="J82" i="6"/>
  <c r="S80" i="6"/>
  <c r="K79" i="6"/>
  <c r="A78" i="6"/>
  <c r="T76" i="6"/>
  <c r="G75" i="6"/>
  <c r="T73" i="6"/>
  <c r="O72" i="6"/>
  <c r="F71" i="6"/>
  <c r="V69" i="6"/>
  <c r="K68" i="6"/>
  <c r="B67" i="6"/>
  <c r="R65" i="6"/>
  <c r="J64" i="6"/>
  <c r="J63" i="6"/>
  <c r="B62" i="6"/>
  <c r="T60" i="6"/>
  <c r="T59" i="6"/>
  <c r="P58" i="6"/>
  <c r="P57" i="6"/>
  <c r="I56" i="6"/>
  <c r="I55" i="6"/>
  <c r="H54" i="6"/>
  <c r="J53" i="6"/>
  <c r="K52" i="6"/>
  <c r="K51" i="6"/>
  <c r="K50" i="6"/>
  <c r="N49" i="6"/>
  <c r="R48" i="6"/>
  <c r="U47" i="6"/>
  <c r="A47" i="6"/>
  <c r="D46" i="6"/>
  <c r="I45" i="6"/>
  <c r="K44" i="6"/>
  <c r="P43" i="6"/>
  <c r="P42" i="6"/>
  <c r="T41" i="6"/>
  <c r="B41" i="6"/>
  <c r="E40" i="6"/>
  <c r="J39" i="6"/>
  <c r="L38" i="6"/>
  <c r="R37" i="6"/>
  <c r="A37" i="6"/>
  <c r="F36" i="6"/>
  <c r="L35" i="6"/>
  <c r="O34" i="6"/>
  <c r="T33" i="6"/>
  <c r="C33" i="6"/>
  <c r="I32" i="6"/>
  <c r="N31" i="6"/>
  <c r="Q30" i="6"/>
  <c r="V29" i="6"/>
  <c r="F29" i="6"/>
  <c r="K28" i="6"/>
  <c r="P27" i="6"/>
  <c r="U26" i="6"/>
  <c r="G26" i="6"/>
  <c r="M25" i="6"/>
  <c r="U24" i="6"/>
  <c r="G24" i="6"/>
  <c r="O23" i="6"/>
  <c r="A23" i="6"/>
  <c r="H22" i="6"/>
  <c r="P21" i="6"/>
  <c r="B21" i="6"/>
  <c r="J20" i="6"/>
  <c r="R19" i="6"/>
  <c r="D19" i="6"/>
  <c r="J18" i="6"/>
  <c r="R17" i="6"/>
  <c r="D17" i="6"/>
  <c r="L16" i="6"/>
  <c r="T15" i="6"/>
  <c r="E15" i="6"/>
  <c r="M14" i="6"/>
  <c r="U13" i="6"/>
  <c r="G13" i="6"/>
  <c r="O12" i="6"/>
  <c r="V11" i="6"/>
  <c r="G11" i="6"/>
  <c r="O10" i="6"/>
  <c r="A10" i="6"/>
  <c r="I9" i="6"/>
  <c r="P8" i="6"/>
  <c r="B8" i="6"/>
  <c r="J7" i="6"/>
  <c r="R6" i="6"/>
  <c r="D6" i="6"/>
  <c r="L5" i="6"/>
  <c r="S4" i="6"/>
  <c r="D4" i="6"/>
  <c r="L3" i="6"/>
  <c r="F109" i="6"/>
  <c r="B107" i="6"/>
  <c r="T104" i="6"/>
  <c r="P102" i="6"/>
  <c r="B101" i="6"/>
  <c r="B99" i="6"/>
  <c r="F97" i="6"/>
  <c r="R95" i="6"/>
  <c r="U93" i="6"/>
  <c r="D92" i="6"/>
  <c r="N90" i="6"/>
  <c r="T88" i="6"/>
  <c r="H87" i="6"/>
  <c r="O85" i="6"/>
  <c r="P83" i="6"/>
  <c r="H82" i="6"/>
  <c r="R80" i="6"/>
  <c r="J79" i="6"/>
  <c r="V77" i="6"/>
  <c r="J76" i="6"/>
  <c r="D75" i="6"/>
  <c r="Q73" i="6"/>
  <c r="M72" i="6"/>
  <c r="D71" i="6"/>
  <c r="N69" i="6"/>
  <c r="J68" i="6"/>
  <c r="V66" i="6"/>
  <c r="Q65" i="6"/>
  <c r="H64" i="6"/>
  <c r="B63" i="6"/>
  <c r="A62" i="6"/>
  <c r="S60" i="6"/>
  <c r="S59" i="6"/>
  <c r="O58" i="6"/>
  <c r="H57" i="6"/>
  <c r="H56" i="6"/>
  <c r="G55" i="6"/>
  <c r="G54" i="6"/>
  <c r="I53" i="6"/>
  <c r="G52" i="6"/>
  <c r="J51" i="6"/>
  <c r="J50" i="6"/>
  <c r="M49" i="6"/>
  <c r="P48" i="6"/>
  <c r="R47" i="6"/>
  <c r="T46" i="6"/>
  <c r="C46" i="6"/>
  <c r="H45" i="6"/>
  <c r="J44" i="6"/>
  <c r="L43" i="6"/>
  <c r="O42" i="6"/>
  <c r="S41" i="6"/>
  <c r="V40" i="6"/>
  <c r="D40" i="6"/>
  <c r="E39" i="6"/>
  <c r="K38" i="6"/>
  <c r="Q37" i="6"/>
  <c r="V36" i="6"/>
  <c r="E36" i="6"/>
  <c r="H35" i="6"/>
  <c r="N34" i="6"/>
  <c r="R33" i="6"/>
  <c r="B33" i="6"/>
  <c r="H32" i="6"/>
  <c r="J31" i="6"/>
  <c r="P30" i="6"/>
  <c r="U29" i="6"/>
  <c r="D29" i="6"/>
  <c r="J28" i="6"/>
  <c r="M27" i="6"/>
  <c r="T26" i="6"/>
  <c r="D26" i="6"/>
  <c r="L25" i="6"/>
  <c r="T24" i="6"/>
  <c r="F24" i="6"/>
  <c r="N23" i="6"/>
  <c r="V22" i="6"/>
  <c r="G22" i="6"/>
  <c r="O21" i="6"/>
  <c r="A21" i="6"/>
  <c r="I20" i="6"/>
  <c r="Q19" i="6"/>
  <c r="A19" i="6"/>
  <c r="I18" i="6"/>
  <c r="Q17" i="6"/>
  <c r="O108" i="6"/>
  <c r="F106" i="6"/>
  <c r="K104" i="6"/>
  <c r="L102" i="6"/>
  <c r="H100" i="6"/>
  <c r="L98" i="6"/>
  <c r="B97" i="6"/>
  <c r="F95" i="6"/>
  <c r="N93" i="6"/>
  <c r="R91" i="6"/>
  <c r="A90" i="6"/>
  <c r="L88" i="6"/>
  <c r="Q86" i="6"/>
  <c r="C85" i="6"/>
  <c r="L83" i="6"/>
  <c r="U81" i="6"/>
  <c r="M80" i="6"/>
  <c r="V78" i="6"/>
  <c r="P77" i="6"/>
  <c r="V108" i="6"/>
  <c r="H104" i="6"/>
  <c r="V98" i="6"/>
  <c r="A95" i="6"/>
  <c r="L91" i="6"/>
  <c r="S86" i="6"/>
  <c r="J83" i="6"/>
  <c r="H79" i="6"/>
  <c r="F76" i="6"/>
  <c r="N73" i="6"/>
  <c r="Q70" i="6"/>
  <c r="U67" i="6"/>
  <c r="G65" i="6"/>
  <c r="T62" i="6"/>
  <c r="P60" i="6"/>
  <c r="H58" i="6"/>
  <c r="B56" i="6"/>
  <c r="D54" i="6"/>
  <c r="C52" i="6"/>
  <c r="G50" i="6"/>
  <c r="J48" i="6"/>
  <c r="Q46" i="6"/>
  <c r="B45" i="6"/>
  <c r="G43" i="6"/>
  <c r="O41" i="6"/>
  <c r="T39" i="6"/>
  <c r="H38" i="6"/>
  <c r="R36" i="6"/>
  <c r="E35" i="6"/>
  <c r="O33" i="6"/>
  <c r="A32" i="6"/>
  <c r="L30" i="6"/>
  <c r="A29" i="6"/>
  <c r="I27" i="6"/>
  <c r="A26" i="6"/>
  <c r="Q24" i="6"/>
  <c r="J23" i="6"/>
  <c r="D22" i="6"/>
  <c r="S20" i="6"/>
  <c r="L19" i="6"/>
  <c r="F18" i="6"/>
  <c r="A17" i="6"/>
  <c r="R15" i="6"/>
  <c r="T14" i="6"/>
  <c r="P13" i="6"/>
  <c r="K12" i="6"/>
  <c r="N11" i="6"/>
  <c r="J10" i="6"/>
  <c r="E9" i="6"/>
  <c r="A8" i="6"/>
  <c r="B7" i="6"/>
  <c r="T5" i="6"/>
  <c r="P4" i="6"/>
  <c r="R3" i="6"/>
  <c r="J104" i="6"/>
  <c r="U62" i="6"/>
  <c r="H43" i="6"/>
  <c r="L23" i="6"/>
  <c r="H8" i="6"/>
  <c r="M108" i="6"/>
  <c r="B104" i="6"/>
  <c r="S98" i="6"/>
  <c r="U94" i="6"/>
  <c r="M90" i="6"/>
  <c r="L86" i="6"/>
  <c r="F83" i="6"/>
  <c r="C79" i="6"/>
  <c r="D76" i="6"/>
  <c r="L73" i="6"/>
  <c r="L70" i="6"/>
  <c r="T67" i="6"/>
  <c r="B65" i="6"/>
  <c r="S62" i="6"/>
  <c r="O60" i="6"/>
  <c r="C58" i="6"/>
  <c r="V55" i="6"/>
  <c r="R53" i="6"/>
  <c r="B52" i="6"/>
  <c r="F50" i="6"/>
  <c r="I48" i="6"/>
  <c r="P46" i="6"/>
  <c r="U44" i="6"/>
  <c r="F43" i="6"/>
  <c r="M41" i="6"/>
  <c r="Q39" i="6"/>
  <c r="G38" i="6"/>
  <c r="O36" i="6"/>
  <c r="C35" i="6"/>
  <c r="N33" i="6"/>
  <c r="V31" i="6"/>
  <c r="K30" i="6"/>
  <c r="S28" i="6"/>
  <c r="H27" i="6"/>
  <c r="V25" i="6"/>
  <c r="P24" i="6"/>
  <c r="I23" i="6"/>
  <c r="C22" i="6"/>
  <c r="R20" i="6"/>
  <c r="K19" i="6"/>
  <c r="E18" i="6"/>
  <c r="V16" i="6"/>
  <c r="Q15" i="6"/>
  <c r="S14" i="6"/>
  <c r="N13" i="6"/>
  <c r="J12" i="6"/>
  <c r="F11" i="6"/>
  <c r="H10" i="6"/>
  <c r="D9" i="6"/>
  <c r="V7" i="6"/>
  <c r="A7" i="6"/>
  <c r="S5" i="6"/>
  <c r="O4" i="6"/>
  <c r="K3" i="6"/>
  <c r="U79" i="6"/>
  <c r="D56" i="6"/>
  <c r="V39" i="6"/>
  <c r="R24" i="6"/>
  <c r="O11" i="6"/>
  <c r="C108" i="6"/>
  <c r="O102" i="6"/>
  <c r="K98" i="6"/>
  <c r="P94" i="6"/>
  <c r="L90" i="6"/>
  <c r="K86" i="6"/>
  <c r="F82" i="6"/>
  <c r="R78" i="6"/>
  <c r="B76" i="6"/>
  <c r="J73" i="6"/>
  <c r="J70" i="6"/>
  <c r="R67" i="6"/>
  <c r="A65" i="6"/>
  <c r="P62" i="6"/>
  <c r="L60" i="6"/>
  <c r="B58" i="6"/>
  <c r="U55" i="6"/>
  <c r="Q53" i="6"/>
  <c r="V51" i="6"/>
  <c r="D50" i="6"/>
  <c r="H48" i="6"/>
  <c r="O46" i="6"/>
  <c r="T44" i="6"/>
  <c r="E43" i="6"/>
  <c r="L41" i="6"/>
  <c r="P39" i="6"/>
  <c r="F38" i="6"/>
  <c r="N36" i="6"/>
  <c r="B35" i="6"/>
  <c r="M33" i="6"/>
  <c r="U31" i="6"/>
  <c r="J30" i="6"/>
  <c r="R28" i="6"/>
  <c r="F27" i="6"/>
  <c r="U25" i="6"/>
  <c r="O24" i="6"/>
  <c r="H23" i="6"/>
  <c r="A22" i="6"/>
  <c r="P20" i="6"/>
  <c r="J19" i="6"/>
  <c r="D18" i="6"/>
  <c r="T16" i="6"/>
  <c r="P15" i="6"/>
  <c r="L14" i="6"/>
  <c r="M13" i="6"/>
  <c r="I12" i="6"/>
  <c r="E11" i="6"/>
  <c r="G10" i="6"/>
  <c r="C9" i="6"/>
  <c r="U7" i="6"/>
  <c r="Q6" i="6"/>
  <c r="R5" i="6"/>
  <c r="N4" i="6"/>
  <c r="J3" i="6"/>
  <c r="K83" i="6"/>
  <c r="E54" i="6"/>
  <c r="P33" i="6"/>
  <c r="B17" i="6"/>
  <c r="A108" i="6"/>
  <c r="N102" i="6"/>
  <c r="H98" i="6"/>
  <c r="T93" i="6"/>
  <c r="V89" i="6"/>
  <c r="J86" i="6"/>
  <c r="E82" i="6"/>
  <c r="O78" i="6"/>
  <c r="V75" i="6"/>
  <c r="V72" i="6"/>
  <c r="I70" i="6"/>
  <c r="Q67" i="6"/>
  <c r="U64" i="6"/>
  <c r="O62" i="6"/>
  <c r="E60" i="6"/>
  <c r="V57" i="6"/>
  <c r="T55" i="6"/>
  <c r="P53" i="6"/>
  <c r="T51" i="6"/>
  <c r="T49" i="6"/>
  <c r="G48" i="6"/>
  <c r="N46" i="6"/>
  <c r="S44" i="6"/>
  <c r="D43" i="6"/>
  <c r="H41" i="6"/>
  <c r="O39" i="6"/>
  <c r="D38" i="6"/>
  <c r="L36" i="6"/>
  <c r="A35" i="6"/>
  <c r="J33" i="6"/>
  <c r="T31" i="6"/>
  <c r="H30" i="6"/>
  <c r="Q28" i="6"/>
  <c r="E27" i="6"/>
  <c r="T25" i="6"/>
  <c r="N24" i="6"/>
  <c r="G23" i="6"/>
  <c r="V21" i="6"/>
  <c r="O20" i="6"/>
  <c r="I19" i="6"/>
  <c r="C18" i="6"/>
  <c r="S16" i="6"/>
  <c r="O15" i="6"/>
  <c r="K14" i="6"/>
  <c r="L13" i="6"/>
  <c r="H12" i="6"/>
  <c r="D11" i="6"/>
  <c r="V9" i="6"/>
  <c r="B9" i="6"/>
  <c r="T7" i="6"/>
  <c r="P6" i="6"/>
  <c r="Q5" i="6"/>
  <c r="M4" i="6"/>
  <c r="I3" i="6"/>
  <c r="R70" i="6"/>
  <c r="A107" i="6"/>
  <c r="J102" i="6"/>
  <c r="G98" i="6"/>
  <c r="P93" i="6"/>
  <c r="T89" i="6"/>
  <c r="L85" i="6"/>
  <c r="S81" i="6"/>
  <c r="N78" i="6"/>
  <c r="C75" i="6"/>
  <c r="L72" i="6"/>
  <c r="J69" i="6"/>
  <c r="S66" i="6"/>
  <c r="G64" i="6"/>
  <c r="V61" i="6"/>
  <c r="Q59" i="6"/>
  <c r="F57" i="6"/>
  <c r="E55" i="6"/>
  <c r="F53" i="6"/>
  <c r="H51" i="6"/>
  <c r="L49" i="6"/>
  <c r="Q47" i="6"/>
  <c r="B46" i="6"/>
  <c r="I44" i="6"/>
  <c r="N42" i="6"/>
  <c r="T40" i="6"/>
  <c r="D39" i="6"/>
  <c r="P37" i="6"/>
  <c r="D36" i="6"/>
  <c r="L34" i="6"/>
  <c r="A33" i="6"/>
  <c r="I31" i="6"/>
  <c r="T29" i="6"/>
  <c r="H28" i="6"/>
  <c r="R26" i="6"/>
  <c r="K25" i="6"/>
  <c r="E24" i="6"/>
  <c r="T22" i="6"/>
  <c r="N21" i="6"/>
  <c r="H20" i="6"/>
  <c r="V18" i="6"/>
  <c r="P17" i="6"/>
  <c r="R16" i="6"/>
  <c r="N15" i="6"/>
  <c r="J14" i="6"/>
  <c r="F13" i="6"/>
  <c r="G12" i="6"/>
  <c r="C11" i="6"/>
  <c r="U9" i="6"/>
  <c r="A9" i="6"/>
  <c r="S7" i="6"/>
  <c r="O6" i="6"/>
  <c r="J5" i="6"/>
  <c r="L4" i="6"/>
  <c r="H3" i="6"/>
  <c r="H31" i="6"/>
  <c r="H95" i="6"/>
  <c r="E68" i="6"/>
  <c r="H50" i="6"/>
  <c r="S36" i="6"/>
  <c r="B26" i="6"/>
  <c r="D16" i="6"/>
  <c r="D7" i="6"/>
  <c r="P106" i="6"/>
  <c r="A102" i="6"/>
  <c r="D97" i="6"/>
  <c r="D93" i="6"/>
  <c r="R89" i="6"/>
  <c r="D85" i="6"/>
  <c r="P81" i="6"/>
  <c r="T77" i="6"/>
  <c r="B75" i="6"/>
  <c r="F72" i="6"/>
  <c r="I69" i="6"/>
  <c r="R66" i="6"/>
  <c r="C64" i="6"/>
  <c r="U61" i="6"/>
  <c r="M59" i="6"/>
  <c r="E57" i="6"/>
  <c r="D55" i="6"/>
  <c r="B53" i="6"/>
  <c r="E51" i="6"/>
  <c r="K49" i="6"/>
  <c r="P47" i="6"/>
  <c r="A46" i="6"/>
  <c r="F44" i="6"/>
  <c r="L42" i="6"/>
  <c r="S40" i="6"/>
  <c r="C39" i="6"/>
  <c r="N37" i="6"/>
  <c r="V35" i="6"/>
  <c r="K34" i="6"/>
  <c r="V32" i="6"/>
  <c r="S29" i="6"/>
  <c r="E28" i="6"/>
  <c r="P26" i="6"/>
  <c r="J25" i="6"/>
  <c r="D24" i="6"/>
  <c r="S22" i="6"/>
  <c r="M21" i="6"/>
  <c r="F20" i="6"/>
  <c r="U18" i="6"/>
  <c r="O17" i="6"/>
  <c r="K16" i="6"/>
  <c r="M15" i="6"/>
  <c r="I14" i="6"/>
  <c r="E13" i="6"/>
  <c r="F12" i="6"/>
  <c r="B11" i="6"/>
  <c r="T9" i="6"/>
  <c r="O8" i="6"/>
  <c r="Q7" i="6"/>
  <c r="L6" i="6"/>
  <c r="H5" i="6"/>
  <c r="K4" i="6"/>
  <c r="G3" i="6"/>
  <c r="O73" i="6"/>
  <c r="K48" i="6"/>
  <c r="F35" i="6"/>
  <c r="E22" i="6"/>
  <c r="N12" i="6"/>
  <c r="Q4" i="6"/>
  <c r="C106" i="6"/>
  <c r="P101" i="6"/>
  <c r="C97" i="6"/>
  <c r="B93" i="6"/>
  <c r="R88" i="6"/>
  <c r="S84" i="6"/>
  <c r="N81" i="6"/>
  <c r="Q77" i="6"/>
  <c r="S74" i="6"/>
  <c r="C72" i="6"/>
  <c r="H69" i="6"/>
  <c r="P66" i="6"/>
  <c r="B64" i="6"/>
  <c r="P61" i="6"/>
  <c r="L59" i="6"/>
  <c r="D57" i="6"/>
  <c r="B55" i="6"/>
  <c r="A53" i="6"/>
  <c r="D51" i="6"/>
  <c r="I49" i="6"/>
  <c r="N47" i="6"/>
  <c r="V45" i="6"/>
  <c r="D44" i="6"/>
  <c r="K42" i="6"/>
  <c r="R40" i="6"/>
  <c r="B39" i="6"/>
  <c r="M37" i="6"/>
  <c r="U35" i="6"/>
  <c r="J34" i="6"/>
  <c r="U32" i="6"/>
  <c r="G31" i="6"/>
  <c r="Q29" i="6"/>
  <c r="D28" i="6"/>
  <c r="O26" i="6"/>
  <c r="I25" i="6"/>
  <c r="C24" i="6"/>
  <c r="R22" i="6"/>
  <c r="L21" i="6"/>
  <c r="D20" i="6"/>
  <c r="T18" i="6"/>
  <c r="N17" i="6"/>
  <c r="J16" i="6"/>
  <c r="K15" i="6"/>
  <c r="G14" i="6"/>
  <c r="B13" i="6"/>
  <c r="T11" i="6"/>
  <c r="A11" i="6"/>
  <c r="R9" i="6"/>
  <c r="N8" i="6"/>
  <c r="P7" i="6"/>
  <c r="K6" i="6"/>
  <c r="G5" i="6"/>
  <c r="C4" i="6"/>
  <c r="F3" i="6"/>
  <c r="N91" i="6"/>
  <c r="J58" i="6"/>
  <c r="Q41" i="6"/>
  <c r="K27" i="6"/>
  <c r="V14" i="6"/>
  <c r="T3" i="6"/>
  <c r="B106" i="6"/>
  <c r="A101" i="6"/>
  <c r="T96" i="6"/>
  <c r="A93" i="6"/>
  <c r="O88" i="6"/>
  <c r="P84" i="6"/>
  <c r="Q80" i="6"/>
  <c r="G77" i="6"/>
  <c r="P74" i="6"/>
  <c r="V71" i="6"/>
  <c r="G69" i="6"/>
  <c r="N66" i="6"/>
  <c r="R63" i="6"/>
  <c r="N61" i="6"/>
  <c r="G59" i="6"/>
  <c r="C57" i="6"/>
  <c r="V54" i="6"/>
  <c r="V52" i="6"/>
  <c r="B51" i="6"/>
  <c r="E49" i="6"/>
  <c r="L47" i="6"/>
  <c r="U45" i="6"/>
  <c r="C44" i="6"/>
  <c r="J42" i="6"/>
  <c r="O40" i="6"/>
  <c r="A39" i="6"/>
  <c r="K37" i="6"/>
  <c r="T35" i="6"/>
  <c r="H34" i="6"/>
  <c r="P32" i="6"/>
  <c r="F31" i="6"/>
  <c r="P29" i="6"/>
  <c r="C28" i="6"/>
  <c r="N26" i="6"/>
  <c r="H25" i="6"/>
  <c r="B24" i="6"/>
  <c r="Q22" i="6"/>
  <c r="J21" i="6"/>
  <c r="C20" i="6"/>
  <c r="S18" i="6"/>
  <c r="M17" i="6"/>
  <c r="H16" i="6"/>
  <c r="D15" i="6"/>
  <c r="F14" i="6"/>
  <c r="A13" i="6"/>
  <c r="S11" i="6"/>
  <c r="V10" i="6"/>
  <c r="Q9" i="6"/>
  <c r="M8" i="6"/>
  <c r="I7" i="6"/>
  <c r="J6" i="6"/>
  <c r="F5" i="6"/>
  <c r="B4" i="6"/>
  <c r="E3" i="6"/>
  <c r="D109" i="6"/>
  <c r="Q60" i="6"/>
  <c r="I38" i="6"/>
  <c r="M19" i="6"/>
  <c r="U5" i="6"/>
  <c r="V105" i="6"/>
  <c r="J100" i="6"/>
  <c r="S96" i="6"/>
  <c r="B92" i="6"/>
  <c r="J88" i="6"/>
  <c r="M84" i="6"/>
  <c r="N80" i="6"/>
  <c r="F77" i="6"/>
  <c r="N74" i="6"/>
  <c r="S71" i="6"/>
  <c r="F69" i="6"/>
  <c r="M66" i="6"/>
  <c r="Q63" i="6"/>
  <c r="L61" i="6"/>
  <c r="F59" i="6"/>
  <c r="B57" i="6"/>
  <c r="U54" i="6"/>
  <c r="T52" i="6"/>
  <c r="A51" i="6"/>
  <c r="D49" i="6"/>
  <c r="J47" i="6"/>
  <c r="R45" i="6"/>
  <c r="A44" i="6"/>
  <c r="I42" i="6"/>
  <c r="N40" i="6"/>
  <c r="V38" i="6"/>
  <c r="J37" i="6"/>
  <c r="S35" i="6"/>
  <c r="G34" i="6"/>
  <c r="O32" i="6"/>
  <c r="E31" i="6"/>
  <c r="O29" i="6"/>
  <c r="B28" i="6"/>
  <c r="M26" i="6"/>
  <c r="G25" i="6"/>
  <c r="V23" i="6"/>
  <c r="P22" i="6"/>
  <c r="I21" i="6"/>
  <c r="B20" i="6"/>
  <c r="R18" i="6"/>
  <c r="L17" i="6"/>
  <c r="G16" i="6"/>
  <c r="C15" i="6"/>
  <c r="D14" i="6"/>
  <c r="V12" i="6"/>
  <c r="R11" i="6"/>
  <c r="N10" i="6"/>
  <c r="P9" i="6"/>
  <c r="L8" i="6"/>
  <c r="H7" i="6"/>
  <c r="I6" i="6"/>
  <c r="E5" i="6"/>
  <c r="A4" i="6"/>
  <c r="G87" i="6"/>
  <c r="D52" i="6"/>
  <c r="B29" i="6"/>
  <c r="R13" i="6"/>
  <c r="R104" i="6"/>
  <c r="F100" i="6"/>
  <c r="G96" i="6"/>
  <c r="V91" i="6"/>
  <c r="I88" i="6"/>
  <c r="N83" i="6"/>
  <c r="L80" i="6"/>
  <c r="E77" i="6"/>
  <c r="M74" i="6"/>
  <c r="R71" i="6"/>
  <c r="D69" i="6"/>
  <c r="C66" i="6"/>
  <c r="P63" i="6"/>
  <c r="K61" i="6"/>
  <c r="D59" i="6"/>
  <c r="V56" i="6"/>
  <c r="R54" i="6"/>
  <c r="S52" i="6"/>
  <c r="V50" i="6"/>
  <c r="B49" i="6"/>
  <c r="I47" i="6"/>
  <c r="N45" i="6"/>
  <c r="U43" i="6"/>
  <c r="H42" i="6"/>
  <c r="M40" i="6"/>
  <c r="U38" i="6"/>
  <c r="G37" i="6"/>
  <c r="R35" i="6"/>
  <c r="F34" i="6"/>
  <c r="N32" i="6"/>
  <c r="D31" i="6"/>
  <c r="L29" i="6"/>
  <c r="V27" i="6"/>
  <c r="L26" i="6"/>
  <c r="F25" i="6"/>
  <c r="U23" i="6"/>
  <c r="N22" i="6"/>
  <c r="H21" i="6"/>
  <c r="A20" i="6"/>
  <c r="Q18" i="6"/>
  <c r="J17" i="6"/>
  <c r="F16" i="6"/>
  <c r="B15" i="6"/>
  <c r="T13" i="6"/>
  <c r="U12" i="6"/>
  <c r="Q11" i="6"/>
  <c r="M10" i="6"/>
  <c r="O9" i="6"/>
  <c r="K8" i="6"/>
  <c r="G7" i="6"/>
  <c r="C6" i="6"/>
  <c r="D5" i="6"/>
  <c r="V3" i="6"/>
  <c r="H76" i="6"/>
  <c r="R46" i="6"/>
  <c r="B32" i="6"/>
  <c r="U20" i="6"/>
  <c r="K10" i="6"/>
  <c r="N104" i="6"/>
  <c r="D100" i="6"/>
  <c r="P95" i="6"/>
  <c r="P91" i="6"/>
  <c r="T87" i="6"/>
  <c r="M83" i="6"/>
  <c r="J80" i="6"/>
  <c r="I76" i="6"/>
  <c r="P73" i="6"/>
  <c r="B71" i="6"/>
  <c r="G68" i="6"/>
  <c r="P65" i="6"/>
  <c r="A63" i="6"/>
  <c r="R60" i="6"/>
  <c r="M58" i="6"/>
  <c r="G56" i="6"/>
  <c r="F54" i="6"/>
  <c r="F52" i="6"/>
  <c r="I50" i="6"/>
  <c r="O48" i="6"/>
  <c r="S46" i="6"/>
  <c r="E45" i="6"/>
  <c r="J43" i="6"/>
  <c r="R41" i="6"/>
  <c r="C40" i="6"/>
  <c r="J38" i="6"/>
  <c r="T36" i="6"/>
  <c r="G35" i="6"/>
  <c r="Q33" i="6"/>
  <c r="G32" i="6"/>
  <c r="O30" i="6"/>
  <c r="C29" i="6"/>
  <c r="L27" i="6"/>
  <c r="C26" i="6"/>
  <c r="S24" i="6"/>
  <c r="M23" i="6"/>
  <c r="F22" i="6"/>
  <c r="V20" i="6"/>
  <c r="N19" i="6"/>
  <c r="H18" i="6"/>
  <c r="C17" i="6"/>
  <c r="E16" i="6"/>
  <c r="A15" i="6"/>
  <c r="S13" i="6"/>
  <c r="T12" i="6"/>
  <c r="P11" i="6"/>
  <c r="L10" i="6"/>
  <c r="H9" i="6"/>
  <c r="J8" i="6"/>
  <c r="F7" i="6"/>
  <c r="B6" i="6"/>
  <c r="C5" i="6"/>
  <c r="U3" i="6"/>
  <c r="C100" i="6"/>
  <c r="H65" i="6"/>
  <c r="C45" i="6"/>
  <c r="N30" i="6"/>
  <c r="G18" i="6"/>
  <c r="F9" i="6"/>
  <c r="A10" i="11"/>
  <c r="A8" i="11"/>
  <c r="A7" i="11"/>
  <c r="A6" i="11"/>
  <c r="A4" i="11"/>
  <c r="A3" i="11"/>
  <c r="A13" i="11"/>
  <c r="A12" i="11"/>
  <c r="A11" i="11"/>
  <c r="A9" i="11"/>
  <c r="A5" i="11"/>
  <c r="A4" i="12"/>
  <c r="A3" i="12"/>
  <c r="A6" i="12"/>
  <c r="A5" i="12"/>
</calcChain>
</file>

<file path=xl/sharedStrings.xml><?xml version="1.0" encoding="utf-8"?>
<sst xmlns="http://schemas.openxmlformats.org/spreadsheetml/2006/main" count="6536" uniqueCount="311">
  <si>
    <t>Lens</t>
  </si>
  <si>
    <t>Weight</t>
  </si>
  <si>
    <t>Focal
Length
(wide)</t>
  </si>
  <si>
    <t>Speed</t>
  </si>
  <si>
    <t>Diameter</t>
  </si>
  <si>
    <t>Length</t>
  </si>
  <si>
    <t>Focus</t>
  </si>
  <si>
    <t>Front Filter 
Diameter</t>
  </si>
  <si>
    <t>Magnification</t>
  </si>
  <si>
    <t>List Price 
(please check 
for actual)</t>
  </si>
  <si>
    <t xml:space="preserve">Close
Focusing
Distance </t>
  </si>
  <si>
    <t>optical 
stabilizer</t>
  </si>
  <si>
    <t>Aperture
Blades</t>
  </si>
  <si>
    <t>Elements/
Groups</t>
  </si>
  <si>
    <t>Manufacturer</t>
  </si>
  <si>
    <t>Release Date</t>
  </si>
  <si>
    <t>Used price
 (average 
auction 9/19)</t>
  </si>
  <si>
    <t>Price 
(please check 
for current)</t>
  </si>
  <si>
    <t>Amazon.com</t>
  </si>
  <si>
    <t>B&amp;H Photo</t>
  </si>
  <si>
    <t>Amazon.de</t>
  </si>
  <si>
    <t>Ebay.com</t>
  </si>
  <si>
    <t>Comment, 
Resources</t>
  </si>
  <si>
    <t>Links marked with * are affiliate links. If you use them we earn a small commission on your purchase. Thanks for the support :)</t>
  </si>
  <si>
    <t>69mm</t>
  </si>
  <si>
    <t>MF</t>
  </si>
  <si>
    <t>na</t>
  </si>
  <si>
    <t>no</t>
  </si>
  <si>
    <t>13/10</t>
  </si>
  <si>
    <t>Voigtlander</t>
  </si>
  <si>
    <t>14/10</t>
  </si>
  <si>
    <t>Laowa</t>
  </si>
  <si>
    <t>no exif</t>
  </si>
  <si>
    <t>Samyang 12mm f/2.8 ED AS NCS Fisheye</t>
  </si>
  <si>
    <t>The widest non-fisheye available.</t>
  </si>
  <si>
    <t>Sony G 4/12-24</t>
  </si>
  <si>
    <t>AF</t>
  </si>
  <si>
    <t>12/8</t>
  </si>
  <si>
    <t>Samyang</t>
  </si>
  <si>
    <t>Fisheye</t>
  </si>
  <si>
    <t>17/13</t>
  </si>
  <si>
    <t>Sony</t>
  </si>
  <si>
    <t>16/10</t>
  </si>
  <si>
    <t>12/10</t>
  </si>
  <si>
    <t>/</t>
  </si>
  <si>
    <t>Sigma Art 1.8/14</t>
  </si>
  <si>
    <t>discontinued</t>
  </si>
  <si>
    <t>Sigma</t>
  </si>
  <si>
    <t>DSLR design</t>
  </si>
  <si>
    <t>Sigma Art 2.8/14-24</t>
  </si>
  <si>
    <t>12/9</t>
  </si>
  <si>
    <t>link*</t>
  </si>
  <si>
    <t>Crazy WA Macro that also shifts</t>
  </si>
  <si>
    <t>Mitakon Zhongyi 20mm f/2.4 4.5x Super Macro</t>
  </si>
  <si>
    <t>18/13</t>
  </si>
  <si>
    <t>rear filter</t>
  </si>
  <si>
    <t>Samyang 2.8/14 AF</t>
  </si>
  <si>
    <t>Mitakon</t>
  </si>
  <si>
    <t>Super Macro with fixed focus distance</t>
  </si>
  <si>
    <t>Venus Optics Laowa 24mm f/14</t>
  </si>
  <si>
    <t>27/19</t>
  </si>
  <si>
    <t>Samyang 24mm f/1.4 ED AS IF UMC</t>
  </si>
  <si>
    <t>Kipon Iberit 24mm f/2.4</t>
  </si>
  <si>
    <t>Kipon</t>
  </si>
  <si>
    <t>72mm</t>
  </si>
  <si>
    <t>Samyang 24mm f/3.5 T/S</t>
  </si>
  <si>
    <t>yes</t>
  </si>
  <si>
    <t>Sony GM 2.8/16-35</t>
  </si>
  <si>
    <t>82mm</t>
  </si>
  <si>
    <t>Tilit/Shift Lens</t>
  </si>
  <si>
    <t>Venus Optics Laowa 25mm f/2.8 2.5-5x</t>
  </si>
  <si>
    <t>58mm</t>
  </si>
  <si>
    <t>16/13</t>
  </si>
  <si>
    <t>67mm</t>
  </si>
  <si>
    <t>dedicated Macro which does not focus to infinity</t>
  </si>
  <si>
    <t>Meyer-Optik Gorlitz Lydith 30mm f/3.5</t>
  </si>
  <si>
    <t>Meyer-Optik</t>
  </si>
  <si>
    <t>13/11</t>
  </si>
  <si>
    <t>Tamron</t>
  </si>
  <si>
    <t>SLR Magic</t>
  </si>
  <si>
    <t>77mm</t>
  </si>
  <si>
    <t>7artisans</t>
  </si>
  <si>
    <t>?/2019</t>
  </si>
  <si>
    <t>only teaser images shown so far</t>
  </si>
  <si>
    <t>Samyang 35mm f/1.4</t>
  </si>
  <si>
    <t>7artisans 35mm f2</t>
  </si>
  <si>
    <t>11/10</t>
  </si>
  <si>
    <t>Zeiss</t>
  </si>
  <si>
    <t>Samyang AF 2.8/18</t>
  </si>
  <si>
    <t>Kipon Iberit 35mm f/2.4</t>
  </si>
  <si>
    <t>Lensbaby Burnside 35mm f/2.8</t>
  </si>
  <si>
    <t>9/8</t>
  </si>
  <si>
    <t>Sigma Art 1.4/20</t>
  </si>
  <si>
    <t>Lensbaby</t>
  </si>
  <si>
    <t>Two separate apertures for bokeh effects.</t>
  </si>
  <si>
    <t>Zenit</t>
  </si>
  <si>
    <t>Samyang 50mm f/1.4 IF UMC</t>
  </si>
  <si>
    <t>Tokina Firin 2/20 AF</t>
  </si>
  <si>
    <t>Meike 50mm f/1.7</t>
  </si>
  <si>
    <t>Meike</t>
  </si>
  <si>
    <t>Kipon Iberit 50mm f/2.4</t>
  </si>
  <si>
    <t>62mm</t>
  </si>
  <si>
    <t>Meyer-Optik Gorlitz Trioplan 50mm f/2.9</t>
  </si>
  <si>
    <t>Tokina</t>
  </si>
  <si>
    <t>Viltrox RBMH 20mm F1.8 ASPH</t>
  </si>
  <si>
    <t>Brightin Star 55 mm F1.8</t>
  </si>
  <si>
    <t>Viltrox</t>
  </si>
  <si>
    <t>Brightin Star</t>
  </si>
  <si>
    <t>Lensbaby Velvet 56mm f/1.6</t>
  </si>
  <si>
    <t>Meyer-Optik Gorlitz Primoplan 58mm f/1.9 II</t>
  </si>
  <si>
    <t>nop</t>
  </si>
  <si>
    <t>1/20</t>
  </si>
  <si>
    <t>Kipon Iberit 75mm f/2.4</t>
  </si>
  <si>
    <t>Mitakon Zhongyi 85mm f/1.2 Speedmaster</t>
  </si>
  <si>
    <t>Samyang 85mm f/1.4 Asperical IF</t>
  </si>
  <si>
    <t>Lensbaby Velvet 85mm f/1.8</t>
  </si>
  <si>
    <t>Meike 85mm f/2.8 Macro</t>
  </si>
  <si>
    <t>Kipon Iberit 90mm f/2.4</t>
  </si>
  <si>
    <t>Meyer-Optik Gorlitz Trioplan 100mm f/2.8</t>
  </si>
  <si>
    <t>Samyang 100mm f/2.8 UMC Macro</t>
  </si>
  <si>
    <t>Tamron 20mm f/2.8 Di III OSD M1:2</t>
  </si>
  <si>
    <t>Sigma Art 1.4/24</t>
  </si>
  <si>
    <t>15/12</t>
  </si>
  <si>
    <t>10/9</t>
  </si>
  <si>
    <t>49mm</t>
  </si>
  <si>
    <t>11/8</t>
  </si>
  <si>
    <t>STF-Element for special bokeh reduces transmission to t/3.2</t>
  </si>
  <si>
    <t>7/7</t>
  </si>
  <si>
    <t>11/7</t>
  </si>
  <si>
    <t>Sony 3.5-6.3/24-240 OSS</t>
  </si>
  <si>
    <t>f/3.5-6.3</t>
  </si>
  <si>
    <t>52mm</t>
  </si>
  <si>
    <t>11/9</t>
  </si>
  <si>
    <t>17/12</t>
  </si>
  <si>
    <t>Sony 4/24-105 G OSS</t>
  </si>
  <si>
    <t>17/14</t>
  </si>
  <si>
    <t>Total number of lenses:</t>
  </si>
  <si>
    <t>Listed are all fullframe E-mount lenses without CPU and electronic contacts. You won't get exif information with these.</t>
  </si>
  <si>
    <t>Last update: 6/9/19</t>
  </si>
  <si>
    <t>Resources</t>
  </si>
  <si>
    <t>10/8</t>
  </si>
  <si>
    <t>Sigma ART 1.4/28</t>
  </si>
  <si>
    <t>Tips on using the list</t>
  </si>
  <si>
    <t xml:space="preserve">To sort the list by speed for example just click on the letter D and select from A-&gt;Z to order the lenses by their speed. </t>
  </si>
  <si>
    <t>Lenses we have reviewed are linked to the review, just click on the lens name.</t>
  </si>
  <si>
    <t>Sony 3.5-5.6/28-70 OSS</t>
  </si>
  <si>
    <t>f/3.5-5.6</t>
  </si>
  <si>
    <t>55mm</t>
  </si>
  <si>
    <t>Sigma 2.8/24-70</t>
  </si>
  <si>
    <t>19/15</t>
  </si>
  <si>
    <t>$1099</t>
  </si>
  <si>
    <t>Sony PZ 28-135mm f/4 G OSS</t>
  </si>
  <si>
    <t>95mm</t>
  </si>
  <si>
    <t>18/12</t>
  </si>
  <si>
    <t>Video lens not well suited for photography</t>
  </si>
  <si>
    <t>Samyang 1.4/35</t>
  </si>
  <si>
    <t>Many reports about defective lenses, check Amazon reviews.</t>
  </si>
  <si>
    <t>Sony FE 1.8/35</t>
  </si>
  <si>
    <t>Samyang 2.8/35</t>
  </si>
  <si>
    <t>Automatically stops down to f/2.8 at minimum focus distance and seems to have some AF issues at potrait distance.</t>
  </si>
  <si>
    <t>Samyang 45mm F1.8</t>
  </si>
  <si>
    <t>Sigma Contemporary 2.8/45</t>
  </si>
  <si>
    <t>Many reports on AF issues at medium distances.</t>
  </si>
  <si>
    <t>Sony ZA 50mm F1.4</t>
  </si>
  <si>
    <t>Sigma Art 1.4/50</t>
  </si>
  <si>
    <t>Samyang 50mm F1.4</t>
  </si>
  <si>
    <t>older rangefinder design optimized for E-mount</t>
  </si>
  <si>
    <t>Sigma Art 2.8/70 Macro</t>
  </si>
  <si>
    <t>Sony GM 2.8/70-200 G OSS</t>
  </si>
  <si>
    <t>23/18</t>
  </si>
  <si>
    <t>Sony 4.5-5.6/70-300 G OSS</t>
  </si>
  <si>
    <t>f/4.5-5.6</t>
  </si>
  <si>
    <t>Automatically stops down to f/2.8 at minimum focus distance and has some AF-issues in AF-C for tighter portraits. See review.</t>
  </si>
  <si>
    <t>21/15</t>
  </si>
  <si>
    <t xml:space="preserve">Sigma 85m f/1.4 DG HSM Art </t>
  </si>
  <si>
    <t>86mm</t>
  </si>
  <si>
    <t>Samyang 85mm f/1.4 AF</t>
  </si>
  <si>
    <t>Viltrox PFU RBMH 85mm f/1.8 STM</t>
  </si>
  <si>
    <t>STF Element for smooth bokeh. Transmission at f/2.8 is that of an f/5.6 lens.</t>
  </si>
  <si>
    <t>Sony GM 4.5-5.6/100-400 OSS</t>
  </si>
  <si>
    <t>22/16</t>
  </si>
  <si>
    <t>Sigma Art 1.4/105</t>
  </si>
  <si>
    <t>105mm</t>
  </si>
  <si>
    <t xml:space="preserve">Sigma	</t>
  </si>
  <si>
    <t>Tamron 2.8/70-180</t>
  </si>
  <si>
    <t>Sigma Art 1.8/135</t>
  </si>
  <si>
    <t>Sony 200-600mm f/5.6-6.3 G OSS</t>
  </si>
  <si>
    <t>f/5.6-6.5</t>
  </si>
  <si>
    <t>24/17</t>
  </si>
  <si>
    <t>Sony 2.8/400 GM OSS</t>
  </si>
  <si>
    <t xml:space="preserve"> na</t>
  </si>
  <si>
    <t>23/17</t>
  </si>
  <si>
    <t>Sony 4/600 GM OSS</t>
  </si>
  <si>
    <t>$12999</t>
  </si>
  <si>
    <t>Tokina 85mm F1.8 FE ATX-M</t>
  </si>
  <si>
    <t>24/18</t>
  </si>
  <si>
    <t>A rebranded Viltrox? Lens diagrams are identical and specs very close.</t>
  </si>
  <si>
    <t>Viltrox PFU RBMH 85mm f/1.8</t>
  </si>
  <si>
    <t>Listed are all fullframe E-mount lenses with electronic contacts for communication with the camera. You find lenses which do not provide exif in their own sheet.</t>
  </si>
  <si>
    <t>Last update: 8/19</t>
  </si>
  <si>
    <t>Super heavy for a 1.8/85</t>
  </si>
  <si>
    <t>Legend</t>
  </si>
  <si>
    <t>G: Sony‘s premium line. None really knows what G stands for though there are some claims that it stands for "Gold".</t>
  </si>
  <si>
    <t>GM: G Master lenses are Sony‘s top of the line lenses which are built to high standards and use the most advanced technologies.</t>
  </si>
  <si>
    <t>ZA: Lenses built by Sony but labeled Zeiss. The extend of the cooperation between Zeiss and Sony isn‘t really transparent but these earlier lenses generally have higher copy to copy variation than GM or Bbatis lenses and some weaknesses like onion rings or easy to scratch hulls.</t>
  </si>
  <si>
    <t>OSS: Optical steady shot - These lenses are optically stabilized and the stabilizer can work together with the bodie‘s stabilizer for more effective stabilization.</t>
  </si>
  <si>
    <t xml:space="preserve">To sort the list by for example lens speed for example just click on the letter D and select from A-&gt;Z to order the lenses by their speed. </t>
  </si>
  <si>
    <t>Listed are all fullframe E-mount lenses with electronic contacts for communication with the camera. You find lenses which do not provide exif like the Laowa 2/15 in the "no exif" sheet.</t>
  </si>
  <si>
    <t>Last update: 15/01/20</t>
  </si>
  <si>
    <t>Tamron 35mm f/2.8 Di III OSD M1:2</t>
  </si>
  <si>
    <t>7/16</t>
  </si>
  <si>
    <t>5/17</t>
  </si>
  <si>
    <t>8/16</t>
  </si>
  <si>
    <t>8/19</t>
  </si>
  <si>
    <t>2/16</t>
  </si>
  <si>
    <t>5/14</t>
  </si>
  <si>
    <t>7/19</t>
  </si>
  <si>
    <t>6/19</t>
  </si>
  <si>
    <t>10/18</t>
  </si>
  <si>
    <t>3/15</t>
  </si>
  <si>
    <t>10/17</t>
  </si>
  <si>
    <t>1/14</t>
  </si>
  <si>
    <t>10/13</t>
  </si>
  <si>
    <t>Focal
Length</t>
  </si>
  <si>
    <t>9/14</t>
  </si>
  <si>
    <t>Comment</t>
  </si>
  <si>
    <t>2/18</t>
  </si>
  <si>
    <t>8/13</t>
  </si>
  <si>
    <t>?/16</t>
  </si>
  <si>
    <t>11/17</t>
  </si>
  <si>
    <t>4/19</t>
  </si>
  <si>
    <t>3/16</t>
  </si>
  <si>
    <t>?/14</t>
  </si>
  <si>
    <t>2/17</t>
  </si>
  <si>
    <t>4/17</t>
  </si>
  <si>
    <t>?/19</t>
  </si>
  <si>
    <t>Voigtlander 50mm F2 APO-Lanthar</t>
  </si>
  <si>
    <t>Samyang
45mm F1.8</t>
  </si>
  <si>
    <t>Sigma Contemporary 
2.8/45</t>
  </si>
  <si>
    <t>Sony ZA 
50mm F1.4</t>
  </si>
  <si>
    <t>Sigma Art
 1.4/50</t>
  </si>
  <si>
    <t>Samyang 
50mm F1.4</t>
  </si>
  <si>
    <t>9/16</t>
  </si>
  <si>
    <t>7/17</t>
  </si>
  <si>
    <t>11/18</t>
  </si>
  <si>
    <t>Kit 1</t>
  </si>
  <si>
    <t>Kit 2</t>
  </si>
  <si>
    <t>Difference</t>
  </si>
  <si>
    <t>Total Weight</t>
  </si>
  <si>
    <t>Total Price (new)</t>
  </si>
  <si>
    <t>Kit-Builder</t>
  </si>
  <si>
    <t>Last update: 1/9/19</t>
  </si>
  <si>
    <t>Last update: 4/10/19</t>
  </si>
  <si>
    <t>Sony 16-55mm F1.8 G</t>
  </si>
  <si>
    <t>Sony E 70-350mm F4.5-6.3 G OSS</t>
  </si>
  <si>
    <t>This List is far from complete</t>
  </si>
  <si>
    <t>Last update: 19/9/19</t>
  </si>
  <si>
    <t>Release Year</t>
  </si>
  <si>
    <t>1:8</t>
  </si>
  <si>
    <t>30cm</t>
  </si>
  <si>
    <t>1:6.6</t>
  </si>
  <si>
    <t>6/5</t>
  </si>
  <si>
    <t>1:7.3</t>
  </si>
  <si>
    <t>Last update: 03/02/20</t>
  </si>
  <si>
    <t>#REF!</t>
  </si>
  <si>
    <t>Zuiko Fisheye 8mm f2.8</t>
  </si>
  <si>
    <t>Zuiko Full Frame Fisheye 16mm f2.5</t>
  </si>
  <si>
    <t>Zuiko 18mm f3.5</t>
  </si>
  <si>
    <t>Zuiko 21mm f2</t>
  </si>
  <si>
    <t>needs 49-72 step up ring for filters</t>
  </si>
  <si>
    <t>Zuiko 21mm f3.5</t>
  </si>
  <si>
    <t>Zuiko 24mm f2.0</t>
  </si>
  <si>
    <t>Zuiko 24mm f2.8</t>
  </si>
  <si>
    <t>8/7</t>
  </si>
  <si>
    <t>Zuiko SHIFT 24mm f3.5</t>
  </si>
  <si>
    <t>6</t>
  </si>
  <si>
    <t>Zuiko 28mm f2.0</t>
  </si>
  <si>
    <t>G.Zuiko 28mm f3.5</t>
  </si>
  <si>
    <t>Zuiko 28mm f2.8</t>
  </si>
  <si>
    <t>6/6</t>
  </si>
  <si>
    <t>Zuiko 35mm f2.0</t>
  </si>
  <si>
    <t>Zuiko 35mm f2.8</t>
  </si>
  <si>
    <t>7/6</t>
  </si>
  <si>
    <t>Zuiko 40mm f2</t>
  </si>
  <si>
    <t>Zuiko 50mm f1.2</t>
  </si>
  <si>
    <t>Zuiko 50mm f1.4</t>
  </si>
  <si>
    <t>Zuiko 50mm f1.8</t>
  </si>
  <si>
    <t>Zuiko 50mm f2 Macro</t>
  </si>
  <si>
    <t>9/7</t>
  </si>
  <si>
    <t>Zuiko 50mm f3.5 Macro</t>
  </si>
  <si>
    <t>5/4</t>
  </si>
  <si>
    <t>Zuiko 55mm f1.2</t>
  </si>
  <si>
    <t>F.Zuiko 85mm f2.0</t>
  </si>
  <si>
    <t>Zuiko 85mm f2.0</t>
  </si>
  <si>
    <t>Zuiko 100mm f2.0</t>
  </si>
  <si>
    <t>Zuiko 100mm f2.8</t>
  </si>
  <si>
    <t>5/5</t>
  </si>
  <si>
    <t>Zuiko 135mm f2.8</t>
  </si>
  <si>
    <t>Zuiko 135mm f3.5</t>
  </si>
  <si>
    <t>Zuiko 180mm f2.0</t>
  </si>
  <si>
    <t>Zuiko 180mm f2.8</t>
  </si>
  <si>
    <t>Zuiko 200mm f4</t>
  </si>
  <si>
    <t>F.Zuiko 200mm f5</t>
  </si>
  <si>
    <t>Zuiko 250mm f2.0</t>
  </si>
  <si>
    <t>6/4</t>
  </si>
  <si>
    <t>Zuiko 300mm f4.5</t>
  </si>
  <si>
    <t>Zuiko 350mm f2.8</t>
  </si>
  <si>
    <t>Links marked with * are affiliate links. If you use them we earn a small commission on your purchase</t>
  </si>
  <si>
    <t>aperture change rotates filter</t>
  </si>
  <si>
    <t>Signifiantly improved</t>
  </si>
  <si>
    <t>much rarer than older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</si>
</sst>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g&quot;"/>
    <numFmt numFmtId="165" formatCode="#&quot;mm&quot;"/>
    <numFmt numFmtId="166" formatCode="&quot;f/&quot;0.0"/>
    <numFmt numFmtId="167" formatCode="###&quot;mm&quot;"/>
    <numFmt numFmtId="168" formatCode="[$$]#,###"/>
    <numFmt numFmtId="169" formatCode="#&quot;cm&quot;"/>
    <numFmt numFmtId="170" formatCode="mm&quot;/&quot;yy"/>
    <numFmt numFmtId="171" formatCode="d/m"/>
    <numFmt numFmtId="172" formatCode="&quot;f/&quot;#.#"/>
    <numFmt numFmtId="173" formatCode="\-#&quot;mm&quot;"/>
    <numFmt numFmtId="174" formatCode="mm/yyyy"/>
    <numFmt numFmtId="175" formatCode="[$$]#,##0"/>
    <numFmt numFmtId="176" formatCode="[$$]#,##0.00"/>
  </numFmts>
  <fonts count="72">
    <font>
      <sz val="10"/>
      <color rgb="FF000000"/>
      <name val="Arial"/>
    </font>
    <font>
      <b/>
      <sz val="10"/>
      <name val="Arial"/>
    </font>
    <font>
      <sz val="11"/>
      <color rgb="FF000000"/>
      <name val="Inconsolata"/>
    </font>
    <font>
      <sz val="10"/>
      <name val="Arial"/>
    </font>
    <font>
      <b/>
      <u/>
      <sz val="10"/>
      <color rgb="FF0000FF"/>
      <name val="Arial"/>
    </font>
    <font>
      <b/>
      <u/>
      <sz val="10"/>
      <color rgb="FF0000FF"/>
      <name val="Arial"/>
    </font>
    <font>
      <sz val="8"/>
      <name val="Arial"/>
    </font>
    <font>
      <u/>
      <sz val="8"/>
      <color rgb="FF0000FF"/>
      <name val="Arial"/>
    </font>
    <font>
      <u/>
      <sz val="8"/>
      <color rgb="FF0000FF"/>
      <name val="Arial"/>
    </font>
    <font>
      <u/>
      <sz val="8"/>
      <color rgb="FF0000FF"/>
      <name val="Arial"/>
    </font>
    <font>
      <u/>
      <sz val="8"/>
      <color rgb="FF0000FF"/>
      <name val="Arial"/>
    </font>
    <font>
      <b/>
      <u/>
      <sz val="10"/>
      <color rgb="FF0000FF"/>
      <name val="Arial"/>
    </font>
    <font>
      <u/>
      <sz val="8"/>
      <color rgb="FF0000FF"/>
      <name val="Arial"/>
    </font>
    <font>
      <b/>
      <u/>
      <sz val="10"/>
      <color rgb="FF0000FF"/>
      <name val="Arial"/>
    </font>
    <font>
      <b/>
      <u/>
      <sz val="10"/>
      <color rgb="FF0000FF"/>
      <name val="Arial"/>
    </font>
    <font>
      <b/>
      <u/>
      <sz val="10"/>
      <color rgb="FF0000FF"/>
      <name val="Arial"/>
    </font>
    <font>
      <u/>
      <sz val="8"/>
      <color rgb="FF0000FF"/>
      <name val="Arial"/>
    </font>
    <font>
      <b/>
      <u/>
      <sz val="10"/>
      <color rgb="FF0000FF"/>
      <name val="Arial"/>
    </font>
    <font>
      <b/>
      <u/>
      <sz val="10"/>
      <color rgb="FF0000FF"/>
      <name val="Arial"/>
    </font>
    <font>
      <b/>
      <u/>
      <sz val="10"/>
      <color rgb="FF111111"/>
      <name val="Arial"/>
    </font>
    <font>
      <u/>
      <sz val="10"/>
      <color rgb="FF0000FF"/>
      <name val="Arial"/>
    </font>
    <font>
      <b/>
      <sz val="10"/>
      <color rgb="FF111111"/>
      <name val="Arial"/>
    </font>
    <font>
      <sz val="10"/>
      <name val="Arial"/>
    </font>
    <font>
      <b/>
      <u/>
      <sz val="10"/>
      <color rgb="FF0000FF"/>
      <name val="Arial"/>
    </font>
    <font>
      <b/>
      <u/>
      <sz val="10"/>
      <color rgb="FF0000FF"/>
      <name val="Arial"/>
    </font>
    <font>
      <b/>
      <sz val="10"/>
      <color rgb="FFFF0000"/>
      <name val="Arial"/>
    </font>
    <font>
      <b/>
      <sz val="11"/>
      <color rgb="FFFF0000"/>
      <name val="Inconsolata"/>
    </font>
    <font>
      <b/>
      <sz val="10"/>
      <color rgb="FFFF0000"/>
      <name val="Arial"/>
    </font>
    <font>
      <b/>
      <sz val="8"/>
      <color rgb="FFFF0000"/>
      <name val="Arial"/>
    </font>
    <font>
      <b/>
      <u/>
      <sz val="10"/>
      <color rgb="FFCFE2F3"/>
      <name val="Arial"/>
    </font>
    <font>
      <b/>
      <sz val="10"/>
      <name val="Arial"/>
    </font>
    <font>
      <b/>
      <u/>
      <sz val="10"/>
      <color rgb="FF0000FF"/>
      <name val="Arial"/>
    </font>
    <font>
      <u/>
      <sz val="10"/>
      <color rgb="FF0000FF"/>
      <name val="Arial"/>
    </font>
    <font>
      <u/>
      <sz val="10"/>
      <color rgb="FF0000FF"/>
      <name val="Arial"/>
    </font>
    <font>
      <u/>
      <sz val="10"/>
      <color rgb="FF0000FF"/>
      <name val="Arial"/>
    </font>
    <font>
      <b/>
      <sz val="11"/>
      <color rgb="FF000000"/>
      <name val="Inconsolata"/>
    </font>
    <font>
      <u/>
      <sz val="10"/>
      <color rgb="FF0000FF"/>
      <name val="Arial"/>
    </font>
    <font>
      <u/>
      <sz val="10"/>
      <color rgb="FF0000FF"/>
      <name val="Arial"/>
    </font>
    <font>
      <u/>
      <sz val="10"/>
      <color rgb="FF0000FF"/>
      <name val="Arial"/>
    </font>
    <font>
      <u/>
      <sz val="10"/>
      <color rgb="FF0000FF"/>
      <name val="Arial"/>
    </font>
    <font>
      <b/>
      <u/>
      <sz val="10"/>
      <color rgb="FF1155CC"/>
      <name val="Arial"/>
    </font>
    <font>
      <u/>
      <sz val="8"/>
      <color rgb="FF1155CC"/>
      <name val="Arial"/>
    </font>
    <font>
      <u/>
      <sz val="8"/>
      <color rgb="FF1155CC"/>
      <name val="Arial"/>
    </font>
    <font>
      <b/>
      <u/>
      <sz val="10"/>
      <color rgb="FF1155CC"/>
      <name val="Arial"/>
    </font>
    <font>
      <b/>
      <u/>
      <sz val="10"/>
      <color rgb="FF0000FF"/>
      <name val="Arial"/>
    </font>
    <font>
      <sz val="10"/>
      <color rgb="FFCCCCCC"/>
      <name val="Arial"/>
    </font>
    <font>
      <u/>
      <sz val="8"/>
      <color rgb="FF1155CC"/>
      <name val="Arial"/>
    </font>
    <font>
      <b/>
      <u/>
      <sz val="10"/>
      <color rgb="FF1155CC"/>
      <name val="Arial"/>
    </font>
    <font>
      <sz val="10"/>
      <color rgb="FFEFEFEF"/>
      <name val="Arial"/>
    </font>
    <font>
      <b/>
      <u/>
      <sz val="10"/>
      <color rgb="FF1155CC"/>
      <name val="Arial"/>
    </font>
    <font>
      <b/>
      <u/>
      <sz val="10"/>
      <color rgb="FF0000FF"/>
      <name val="Arial"/>
    </font>
    <font>
      <b/>
      <u/>
      <sz val="10"/>
      <color rgb="FF0000FF"/>
      <name val="Arial"/>
    </font>
    <font>
      <b/>
      <sz val="10"/>
      <color rgb="FFFFFFFF"/>
      <name val="Arial"/>
    </font>
    <font>
      <u/>
      <sz val="10"/>
      <color rgb="FF0000FF"/>
      <name val="Arial"/>
    </font>
    <font>
      <b/>
      <u/>
      <sz val="10"/>
      <color rgb="FF1155CC"/>
      <name val="Arial"/>
    </font>
    <font>
      <b/>
      <u/>
      <sz val="10"/>
      <color rgb="FF1155CC"/>
      <name val="Arial"/>
    </font>
    <font>
      <b/>
      <u/>
      <sz val="10"/>
      <color rgb="FF0000FF"/>
      <name val="Arial"/>
    </font>
    <font>
      <u/>
      <sz val="10"/>
      <color rgb="FF0000FF"/>
      <name val="Arial"/>
    </font>
    <font>
      <u/>
      <sz val="10"/>
      <color rgb="FF0000FF"/>
      <name val="Arial"/>
    </font>
    <font>
      <u/>
      <sz val="10"/>
      <color rgb="FF0000FF"/>
      <name val="Arial"/>
    </font>
    <font>
      <b/>
      <u/>
      <sz val="10"/>
      <color rgb="FF0000FF"/>
      <name val="Arial"/>
    </font>
    <font>
      <b/>
      <u/>
      <sz val="10"/>
      <color rgb="FF1155CC"/>
      <name val="Arial"/>
    </font>
    <font>
      <b/>
      <sz val="10"/>
      <color rgb="FFCFE2F3"/>
      <name val="Arial"/>
    </font>
    <font>
      <b/>
      <u/>
      <sz val="10"/>
      <color rgb="FF0000FF"/>
      <name val="Arial"/>
    </font>
    <font>
      <b/>
      <u/>
      <sz val="10"/>
      <color rgb="FF0000FF"/>
      <name val="Arial"/>
    </font>
    <font>
      <u/>
      <sz val="10"/>
      <color rgb="FF000000"/>
      <name val="Roboto"/>
    </font>
    <font>
      <b/>
      <u/>
      <sz val="10"/>
      <color rgb="FF1155CC"/>
      <name val="Arial"/>
    </font>
    <font>
      <sz val="10"/>
      <name val="Arial"/>
      <family val="2"/>
    </font>
    <font>
      <b/>
      <sz val="10"/>
      <name val="Arial"/>
      <family val="2"/>
    </font>
    <font>
      <b/>
      <u/>
      <sz val="10"/>
      <color rgb="FF0000FF"/>
      <name val="Arial"/>
      <family val="2"/>
    </font>
    <font>
      <u/>
      <sz val="10"/>
      <color theme="10"/>
      <name val="Arial"/>
    </font>
    <font>
      <sz val="10"/>
      <color rgb="FF000000"/>
      <name val="Arial"/>
      <family val="2"/>
    </font>
  </fonts>
  <fills count="151">
    <fill>
      <patternFill patternType="none"/>
    </fill>
    <fill>
      <patternFill patternType="gray125"/>
    </fill>
    <fill>
      <patternFill patternType="solid">
        <fgColor rgb="FF3C78D8"/>
        <bgColor rgb="FF3C78D8"/>
      </patternFill>
    </fill>
    <fill>
      <patternFill patternType="solid">
        <fgColor rgb="FFE69138"/>
        <bgColor rgb="FFE69138"/>
      </patternFill>
    </fill>
    <fill>
      <patternFill patternType="solid">
        <fgColor rgb="FF6FA8DC"/>
        <bgColor rgb="FF6FA8DC"/>
      </patternFill>
    </fill>
    <fill>
      <patternFill patternType="solid">
        <fgColor rgb="FF8E7CC3"/>
        <bgColor rgb="FF8E7CC3"/>
      </patternFill>
    </fill>
    <fill>
      <patternFill patternType="solid">
        <fgColor rgb="FFC27BA0"/>
        <bgColor rgb="FFC27BA0"/>
      </patternFill>
    </fill>
    <fill>
      <patternFill patternType="solid">
        <fgColor rgb="FFFFD966"/>
        <bgColor rgb="FFFFD966"/>
      </patternFill>
    </fill>
    <fill>
      <patternFill patternType="solid">
        <fgColor rgb="FFDD7E6B"/>
        <bgColor rgb="FFDD7E6B"/>
      </patternFill>
    </fill>
    <fill>
      <patternFill patternType="solid">
        <fgColor rgb="FF93C47D"/>
        <bgColor rgb="FF93C47D"/>
      </patternFill>
    </fill>
    <fill>
      <patternFill patternType="solid">
        <fgColor rgb="FFF6B26B"/>
        <bgColor rgb="FFF6B26B"/>
      </patternFill>
    </fill>
    <fill>
      <patternFill patternType="solid">
        <fgColor rgb="FFE06666"/>
        <bgColor rgb="FFE06666"/>
      </patternFill>
    </fill>
    <fill>
      <patternFill patternType="solid">
        <fgColor rgb="FF6AA84F"/>
        <bgColor rgb="FF6AA84F"/>
      </patternFill>
    </fill>
    <fill>
      <patternFill patternType="solid">
        <fgColor rgb="FFFFF2CC"/>
        <bgColor rgb="FFFFF2CC"/>
      </patternFill>
    </fill>
    <fill>
      <patternFill patternType="solid">
        <fgColor rgb="FFFFFFFF"/>
        <bgColor rgb="FFFFFFFF"/>
      </patternFill>
    </fill>
    <fill>
      <patternFill patternType="solid">
        <fgColor rgb="FFD9D2E9"/>
        <bgColor rgb="FFD9D2E9"/>
      </patternFill>
    </fill>
    <fill>
      <patternFill patternType="solid">
        <fgColor rgb="FFD5A6BD"/>
        <bgColor rgb="FFD5A6BD"/>
      </patternFill>
    </fill>
    <fill>
      <patternFill patternType="solid">
        <fgColor rgb="FFFFE599"/>
        <bgColor rgb="FFFFE599"/>
      </patternFill>
    </fill>
    <fill>
      <patternFill patternType="solid">
        <fgColor rgb="FF6D9EEB"/>
        <bgColor rgb="FF6D9EEB"/>
      </patternFill>
    </fill>
    <fill>
      <patternFill patternType="solid">
        <fgColor rgb="FF674EA7"/>
        <bgColor rgb="FF674EA7"/>
      </patternFill>
    </fill>
    <fill>
      <patternFill patternType="solid">
        <fgColor rgb="FF741B47"/>
        <bgColor rgb="FF741B47"/>
      </patternFill>
    </fill>
    <fill>
      <patternFill patternType="solid">
        <fgColor rgb="FFB4A7D6"/>
        <bgColor rgb="FFB4A7D6"/>
      </patternFill>
    </fill>
    <fill>
      <patternFill patternType="solid">
        <fgColor rgb="FF00FF00"/>
        <bgColor rgb="FF00FF00"/>
      </patternFill>
    </fill>
    <fill>
      <patternFill patternType="solid">
        <fgColor rgb="FF9FC5E8"/>
        <bgColor rgb="FF9FC5E8"/>
      </patternFill>
    </fill>
    <fill>
      <patternFill patternType="solid">
        <fgColor rgb="FF3D85C6"/>
        <bgColor rgb="FF3D85C6"/>
      </patternFill>
    </fill>
    <fill>
      <patternFill patternType="solid">
        <fgColor rgb="FFB7E1CD"/>
        <bgColor rgb="FFB7E1CD"/>
      </patternFill>
    </fill>
    <fill>
      <patternFill patternType="solid">
        <fgColor rgb="FFD9EAD3"/>
        <bgColor rgb="FFD9EAD3"/>
      </patternFill>
    </fill>
    <fill>
      <patternFill patternType="solid">
        <fgColor rgb="FFA4C2F4"/>
        <bgColor rgb="FFA4C2F4"/>
      </patternFill>
    </fill>
    <fill>
      <patternFill patternType="solid">
        <fgColor rgb="FFCFE2F3"/>
        <bgColor rgb="FFCFE2F3"/>
      </patternFill>
    </fill>
    <fill>
      <patternFill patternType="solid">
        <fgColor rgb="FFC9DAF8"/>
        <bgColor rgb="FFC9DAF8"/>
      </patternFill>
    </fill>
    <fill>
      <patternFill patternType="solid">
        <fgColor rgb="FFF4CCCC"/>
        <bgColor rgb="FFF4CCCC"/>
      </patternFill>
    </fill>
    <fill>
      <patternFill patternType="solid">
        <fgColor rgb="FFB6D7A8"/>
        <bgColor rgb="FFB6D7A8"/>
      </patternFill>
    </fill>
    <fill>
      <patternFill patternType="solid">
        <fgColor rgb="FFEA9999"/>
        <bgColor rgb="FFEA9999"/>
      </patternFill>
    </fill>
    <fill>
      <patternFill patternType="solid">
        <fgColor rgb="FFFCE8B2"/>
        <bgColor rgb="FFFCE8B2"/>
      </patternFill>
    </fill>
    <fill>
      <patternFill patternType="solid">
        <fgColor rgb="FF96B5D1"/>
        <bgColor rgb="FF96B5D1"/>
      </patternFill>
    </fill>
    <fill>
      <patternFill patternType="solid">
        <fgColor rgb="FFA697CC"/>
        <bgColor rgb="FFA697CC"/>
      </patternFill>
    </fill>
    <fill>
      <patternFill patternType="solid">
        <fgColor rgb="FFD8AFC2"/>
        <bgColor rgb="FFD8AFC2"/>
      </patternFill>
    </fill>
    <fill>
      <patternFill patternType="solid">
        <fgColor rgb="FFFF0000"/>
        <bgColor rgb="FFFF0000"/>
      </patternFill>
    </fill>
    <fill>
      <patternFill patternType="solid">
        <fgColor rgb="FFD3CBE6"/>
        <bgColor rgb="FFD3CBE6"/>
      </patternFill>
    </fill>
    <fill>
      <patternFill patternType="solid">
        <fgColor rgb="FFCBDFF3"/>
        <bgColor rgb="FFCBDFF3"/>
      </patternFill>
    </fill>
    <fill>
      <patternFill patternType="solid">
        <fgColor rgb="FF9280C0"/>
        <bgColor rgb="FF9280C0"/>
      </patternFill>
    </fill>
    <fill>
      <patternFill patternType="solid">
        <fgColor rgb="FFBA7395"/>
        <bgColor rgb="FFBA7395"/>
      </patternFill>
    </fill>
    <fill>
      <patternFill patternType="solid">
        <fgColor rgb="FFD6AABF"/>
        <bgColor rgb="FFD6AABF"/>
      </patternFill>
    </fill>
    <fill>
      <patternFill patternType="solid">
        <fgColor rgb="FFEAD1DC"/>
        <bgColor rgb="FFEAD1DC"/>
      </patternFill>
    </fill>
    <fill>
      <patternFill patternType="solid">
        <fgColor rgb="FFC6DBF2"/>
        <bgColor rgb="FFC6DBF2"/>
      </patternFill>
    </fill>
    <fill>
      <patternFill patternType="solid">
        <fgColor rgb="FF3F77AA"/>
        <bgColor rgb="FF3F77AA"/>
      </patternFill>
    </fill>
    <fill>
      <patternFill patternType="solid">
        <fgColor rgb="FF7861B1"/>
        <bgColor rgb="FF7861B1"/>
      </patternFill>
    </fill>
    <fill>
      <patternFill patternType="solid">
        <fgColor rgb="FFB4698E"/>
        <bgColor rgb="FFB4698E"/>
      </patternFill>
    </fill>
    <fill>
      <patternFill patternType="solid">
        <fgColor rgb="FF9887C4"/>
        <bgColor rgb="FF9887C4"/>
      </patternFill>
    </fill>
    <fill>
      <patternFill patternType="solid">
        <fgColor rgb="FFB2638A"/>
        <bgColor rgb="FFB2638A"/>
      </patternFill>
    </fill>
    <fill>
      <patternFill patternType="solid">
        <fgColor rgb="FF9583C2"/>
        <bgColor rgb="FF9583C2"/>
      </patternFill>
    </fill>
    <fill>
      <patternFill patternType="solid">
        <fgColor rgb="FFC588A5"/>
        <bgColor rgb="FFC588A5"/>
      </patternFill>
    </fill>
    <fill>
      <patternFill patternType="solid">
        <fgColor rgb="FFC4DAF1"/>
        <bgColor rgb="FFC4DAF1"/>
      </patternFill>
    </fill>
    <fill>
      <patternFill patternType="solid">
        <fgColor rgb="FFDAB1C4"/>
        <bgColor rgb="FFDAB1C4"/>
      </patternFill>
    </fill>
    <fill>
      <patternFill patternType="solid">
        <fgColor rgb="FFC1D8F1"/>
        <bgColor rgb="FFC1D8F1"/>
      </patternFill>
    </fill>
    <fill>
      <patternFill patternType="solid">
        <fgColor rgb="FFAFA1D1"/>
        <bgColor rgb="FFAFA1D1"/>
      </patternFill>
    </fill>
    <fill>
      <patternFill patternType="solid">
        <fgColor rgb="FF8B78BC"/>
        <bgColor rgb="FF8B78BC"/>
      </patternFill>
    </fill>
    <fill>
      <patternFill patternType="solid">
        <fgColor rgb="FFB76D91"/>
        <bgColor rgb="FFB76D91"/>
      </patternFill>
    </fill>
    <fill>
      <patternFill patternType="solid">
        <fgColor rgb="FFBFD6F0"/>
        <bgColor rgb="FFBFD6F0"/>
      </patternFill>
    </fill>
    <fill>
      <patternFill patternType="solid">
        <fgColor rgb="FFBFB4DA"/>
        <bgColor rgb="FFBFB4DA"/>
      </patternFill>
    </fill>
    <fill>
      <patternFill patternType="solid">
        <fgColor rgb="FFC487A5"/>
        <bgColor rgb="FFC487A5"/>
      </patternFill>
    </fill>
    <fill>
      <patternFill patternType="solid">
        <fgColor rgb="FFBCD4F0"/>
        <bgColor rgb="FFBCD4F0"/>
      </patternFill>
    </fill>
    <fill>
      <patternFill patternType="solid">
        <fgColor rgb="FFCF9CB5"/>
        <bgColor rgb="FFCF9CB5"/>
      </patternFill>
    </fill>
    <fill>
      <patternFill patternType="solid">
        <fgColor rgb="FFDBB2C5"/>
        <bgColor rgb="FFDBB2C5"/>
      </patternFill>
    </fill>
    <fill>
      <patternFill patternType="solid">
        <fgColor rgb="FFB8D1EF"/>
        <bgColor rgb="FFB8D1EF"/>
      </patternFill>
    </fill>
    <fill>
      <patternFill patternType="solid">
        <fgColor rgb="FF1C5F9B"/>
        <bgColor rgb="FF1C5F9B"/>
      </patternFill>
    </fill>
    <fill>
      <patternFill patternType="solid">
        <fgColor rgb="FF8570B8"/>
        <bgColor rgb="FF8570B8"/>
      </patternFill>
    </fill>
    <fill>
      <patternFill patternType="solid">
        <fgColor rgb="FFB2648A"/>
        <bgColor rgb="FFB2648A"/>
      </patternFill>
    </fill>
    <fill>
      <patternFill patternType="solid">
        <fgColor rgb="FFB2A5D3"/>
        <bgColor rgb="FFB2A5D3"/>
      </patternFill>
    </fill>
    <fill>
      <patternFill patternType="solid">
        <fgColor rgb="FFC284A2"/>
        <bgColor rgb="FFC284A2"/>
      </patternFill>
    </fill>
    <fill>
      <patternFill patternType="solid">
        <fgColor rgb="FF5084B2"/>
        <bgColor rgb="FF5084B2"/>
      </patternFill>
    </fill>
    <fill>
      <patternFill patternType="solid">
        <fgColor rgb="FFCCC3E2"/>
        <bgColor rgb="FFCCC3E2"/>
      </patternFill>
    </fill>
    <fill>
      <patternFill patternType="solid">
        <fgColor rgb="FFCE9AB3"/>
        <bgColor rgb="FFCE9AB3"/>
      </patternFill>
    </fill>
    <fill>
      <patternFill patternType="solid">
        <fgColor rgb="FFB5CFEE"/>
        <bgColor rgb="FFB5CFEE"/>
      </patternFill>
    </fill>
    <fill>
      <patternFill patternType="solid">
        <fgColor rgb="FFC9C0E0"/>
        <bgColor rgb="FFC9C0E0"/>
      </patternFill>
    </fill>
    <fill>
      <patternFill patternType="solid">
        <fgColor rgb="FFD4A5BB"/>
        <bgColor rgb="FFD4A5BB"/>
      </patternFill>
    </fill>
    <fill>
      <patternFill patternType="solid">
        <fgColor rgb="FFD3E0EB"/>
        <bgColor rgb="FFD3E0EB"/>
      </patternFill>
    </fill>
    <fill>
      <patternFill patternType="solid">
        <fgColor rgb="FFE6CAD7"/>
        <bgColor rgb="FFE6CAD7"/>
      </patternFill>
    </fill>
    <fill>
      <patternFill patternType="solid">
        <fgColor rgb="FFAECAED"/>
        <bgColor rgb="FFAECAED"/>
      </patternFill>
    </fill>
    <fill>
      <patternFill patternType="solid">
        <fgColor rgb="FFB9ADD7"/>
        <bgColor rgb="FFB9ADD7"/>
      </patternFill>
    </fill>
    <fill>
      <patternFill patternType="solid">
        <fgColor rgb="FFC88FAB"/>
        <bgColor rgb="FFC88FAB"/>
      </patternFill>
    </fill>
    <fill>
      <patternFill patternType="solid">
        <fgColor rgb="FFC991AC"/>
        <bgColor rgb="FFC991AC"/>
      </patternFill>
    </fill>
    <fill>
      <patternFill patternType="solid">
        <fgColor rgb="FFE8CDD9"/>
        <bgColor rgb="FFE8CDD9"/>
      </patternFill>
    </fill>
    <fill>
      <patternFill patternType="solid">
        <fgColor rgb="FF8F7CBE"/>
        <bgColor rgb="FF8F7CBE"/>
      </patternFill>
    </fill>
    <fill>
      <patternFill patternType="solid">
        <fgColor rgb="FFAF5D85"/>
        <bgColor rgb="FFAF5D85"/>
      </patternFill>
    </fill>
    <fill>
      <patternFill patternType="solid">
        <fgColor rgb="FFA99ACD"/>
        <bgColor rgb="FFA99ACD"/>
      </patternFill>
    </fill>
    <fill>
      <patternFill patternType="solid">
        <fgColor rgb="FFB97094"/>
        <bgColor rgb="FFB97094"/>
      </patternFill>
    </fill>
    <fill>
      <patternFill patternType="solid">
        <fgColor rgb="FF9F8FC8"/>
        <bgColor rgb="FF9F8FC8"/>
      </patternFill>
    </fill>
    <fill>
      <patternFill patternType="solid">
        <fgColor rgb="FFBC7799"/>
        <bgColor rgb="FFBC7799"/>
      </patternFill>
    </fill>
    <fill>
      <patternFill patternType="solid">
        <fgColor rgb="FFC68CA8"/>
        <bgColor rgb="FFC68CA8"/>
      </patternFill>
    </fill>
    <fill>
      <patternFill patternType="solid">
        <fgColor rgb="FFACC8EC"/>
        <bgColor rgb="FFACC8EC"/>
      </patternFill>
    </fill>
    <fill>
      <patternFill patternType="solid">
        <fgColor rgb="FF826DB7"/>
        <bgColor rgb="FF826DB7"/>
      </patternFill>
    </fill>
    <fill>
      <patternFill patternType="solid">
        <fgColor rgb="FFD09FB6"/>
        <bgColor rgb="FFD09FB6"/>
      </patternFill>
    </fill>
    <fill>
      <patternFill patternType="solid">
        <fgColor rgb="FF739CC1"/>
        <bgColor rgb="FF739CC1"/>
      </patternFill>
    </fill>
    <fill>
      <patternFill patternType="solid">
        <fgColor rgb="FFD2A2B9"/>
        <bgColor rgb="FFD2A2B9"/>
      </patternFill>
    </fill>
    <fill>
      <patternFill patternType="solid">
        <fgColor rgb="FFA5C3EB"/>
        <bgColor rgb="FFA5C3EB"/>
      </patternFill>
    </fill>
    <fill>
      <patternFill patternType="solid">
        <fgColor rgb="FFB06087"/>
        <bgColor rgb="FFB06087"/>
      </patternFill>
    </fill>
    <fill>
      <patternFill patternType="solid">
        <fgColor rgb="FFDBB3C6"/>
        <bgColor rgb="FFDBB3C6"/>
      </patternFill>
    </fill>
    <fill>
      <patternFill patternType="solid">
        <fgColor rgb="FFB97295"/>
        <bgColor rgb="FFB97295"/>
      </patternFill>
    </fill>
    <fill>
      <patternFill patternType="solid">
        <fgColor rgb="FFCD99B2"/>
        <bgColor rgb="FFCD99B2"/>
      </patternFill>
    </fill>
    <fill>
      <patternFill patternType="solid">
        <fgColor rgb="FFA64D79"/>
        <bgColor rgb="FFA64D79"/>
      </patternFill>
    </fill>
    <fill>
      <patternFill patternType="solid">
        <fgColor rgb="FF94B7E8"/>
        <bgColor rgb="FF94B7E8"/>
      </patternFill>
    </fill>
    <fill>
      <patternFill patternType="solid">
        <fgColor rgb="FF0B5394"/>
        <bgColor rgb="FF0B5394"/>
      </patternFill>
    </fill>
    <fill>
      <patternFill patternType="solid">
        <fgColor rgb="FFAC9ECF"/>
        <bgColor rgb="FFAC9ECF"/>
      </patternFill>
    </fill>
    <fill>
      <patternFill patternType="solid">
        <fgColor rgb="FFBD789A"/>
        <bgColor rgb="FFBD789A"/>
      </patternFill>
    </fill>
    <fill>
      <patternFill patternType="solid">
        <fgColor rgb="FFB6A9D5"/>
        <bgColor rgb="FFB6A9D5"/>
      </patternFill>
    </fill>
    <fill>
      <patternFill patternType="solid">
        <fgColor rgb="FFBB7597"/>
        <bgColor rgb="FFBB7597"/>
      </patternFill>
    </fill>
    <fill>
      <patternFill patternType="solid">
        <fgColor rgb="FFC78DA9"/>
        <bgColor rgb="FFC78DA9"/>
      </patternFill>
    </fill>
    <fill>
      <patternFill patternType="solid">
        <fgColor rgb="FFD6CFE8"/>
        <bgColor rgb="FFD6CFE8"/>
      </patternFill>
    </fill>
    <fill>
      <patternFill patternType="solid">
        <fgColor rgb="FFD3A4BB"/>
        <bgColor rgb="FFD3A4BB"/>
      </patternFill>
    </fill>
    <fill>
      <patternFill patternType="solid">
        <fgColor rgb="FFD7ACC1"/>
        <bgColor rgb="FFD7ACC1"/>
      </patternFill>
    </fill>
    <fill>
      <patternFill patternType="solid">
        <fgColor rgb="FF88AEE5"/>
        <bgColor rgb="FF88AEE5"/>
      </patternFill>
    </fill>
    <fill>
      <patternFill patternType="solid">
        <fgColor rgb="FFDBB4C6"/>
        <bgColor rgb="FFDBB4C6"/>
      </patternFill>
    </fill>
    <fill>
      <patternFill patternType="solid">
        <fgColor rgb="FFC88EAA"/>
        <bgColor rgb="FFC88EAA"/>
      </patternFill>
    </fill>
    <fill>
      <patternFill patternType="solid">
        <fgColor rgb="FF7CA5E3"/>
        <bgColor rgb="FF7CA5E3"/>
      </patternFill>
    </fill>
    <fill>
      <patternFill patternType="solid">
        <fgColor rgb="FFDDB8C9"/>
        <bgColor rgb="FFDDB8C9"/>
      </patternFill>
    </fill>
    <fill>
      <patternFill patternType="solid">
        <fgColor rgb="FFE3C3D1"/>
        <bgColor rgb="FFE3C3D1"/>
      </patternFill>
    </fill>
    <fill>
      <patternFill patternType="solid">
        <fgColor rgb="FF709CE0"/>
        <bgColor rgb="FF709CE0"/>
      </patternFill>
    </fill>
    <fill>
      <patternFill patternType="solid">
        <fgColor rgb="FFDCB5C7"/>
        <bgColor rgb="FFDCB5C7"/>
      </patternFill>
    </fill>
    <fill>
      <patternFill patternType="solid">
        <fgColor rgb="FF9C8BC6"/>
        <bgColor rgb="FF9C8BC6"/>
      </patternFill>
    </fill>
    <fill>
      <patternFill patternType="solid">
        <fgColor rgb="FFBF7D9D"/>
        <bgColor rgb="FFBF7D9D"/>
      </patternFill>
    </fill>
    <fill>
      <patternFill patternType="solid">
        <fgColor rgb="FFC486A4"/>
        <bgColor rgb="FFC486A4"/>
      </patternFill>
    </fill>
    <fill>
      <patternFill patternType="solid">
        <fgColor rgb="FFBCB1D9"/>
        <bgColor rgb="FFBCB1D9"/>
      </patternFill>
    </fill>
    <fill>
      <patternFill patternType="solid">
        <fgColor rgb="FFC3B8DC"/>
        <bgColor rgb="FFC3B8DC"/>
      </patternFill>
    </fill>
    <fill>
      <patternFill patternType="solid">
        <fgColor rgb="FFD4A7BC"/>
        <bgColor rgb="FFD4A7BC"/>
      </patternFill>
    </fill>
    <fill>
      <patternFill patternType="solid">
        <fgColor rgb="FF6F9BE0"/>
        <bgColor rgb="FF6F9BE0"/>
      </patternFill>
    </fill>
    <fill>
      <patternFill patternType="solid">
        <fgColor rgb="FF6C99E0"/>
        <bgColor rgb="FF6C99E0"/>
      </patternFill>
    </fill>
    <fill>
      <patternFill patternType="solid">
        <fgColor rgb="FFC990AB"/>
        <bgColor rgb="FFC990AB"/>
      </patternFill>
    </fill>
    <fill>
      <patternFill patternType="solid">
        <fgColor rgb="FF6B98DF"/>
        <bgColor rgb="FF6B98DF"/>
      </patternFill>
    </fill>
    <fill>
      <patternFill patternType="solid">
        <fgColor rgb="FFC6BCDE"/>
        <bgColor rgb="FFC6BCDE"/>
      </patternFill>
    </fill>
    <fill>
      <patternFill patternType="solid">
        <fgColor rgb="FFC07F9F"/>
        <bgColor rgb="FFC07F9F"/>
      </patternFill>
    </fill>
    <fill>
      <patternFill patternType="solid">
        <fgColor rgb="FFAA547F"/>
        <bgColor rgb="FFAA547F"/>
      </patternFill>
    </fill>
    <fill>
      <patternFill patternType="solid">
        <fgColor rgb="FF6795DE"/>
        <bgColor rgb="FF6795DE"/>
      </patternFill>
    </fill>
    <fill>
      <patternFill patternType="solid">
        <fgColor rgb="FFCF9BB4"/>
        <bgColor rgb="FFCF9BB4"/>
      </patternFill>
    </fill>
    <fill>
      <patternFill patternType="solid">
        <fgColor rgb="FF6694DE"/>
        <bgColor rgb="FF6694DE"/>
      </patternFill>
    </fill>
    <fill>
      <patternFill patternType="solid">
        <fgColor rgb="FF6392DE"/>
        <bgColor rgb="FF6392DE"/>
      </patternFill>
    </fill>
    <fill>
      <patternFill patternType="solid">
        <fgColor rgb="FFB66C90"/>
        <bgColor rgb="FFB66C90"/>
      </patternFill>
    </fill>
    <fill>
      <patternFill patternType="solid">
        <fgColor rgb="FF7B65B3"/>
        <bgColor rgb="FF7B65B3"/>
      </patternFill>
    </fill>
    <fill>
      <patternFill patternType="solid">
        <fgColor rgb="FF6291DD"/>
        <bgColor rgb="FF6291DD"/>
      </patternFill>
    </fill>
    <fill>
      <patternFill patternType="solid">
        <fgColor rgb="FFB16289"/>
        <bgColor rgb="FFB16289"/>
      </patternFill>
    </fill>
    <fill>
      <patternFill patternType="solid">
        <fgColor rgb="FF6090DD"/>
        <bgColor rgb="FF6090DD"/>
      </patternFill>
    </fill>
    <fill>
      <patternFill patternType="solid">
        <fgColor rgb="FF7CA2C5"/>
        <bgColor rgb="FF7CA2C5"/>
      </patternFill>
    </fill>
    <fill>
      <patternFill patternType="solid">
        <fgColor rgb="FF598BDC"/>
        <bgColor rgb="FF598BDC"/>
      </patternFill>
    </fill>
    <fill>
      <patternFill patternType="solid">
        <fgColor rgb="FF8874BA"/>
        <bgColor rgb="FF8874BA"/>
      </patternFill>
    </fill>
    <fill>
      <patternFill patternType="solid">
        <fgColor rgb="FFB4678D"/>
        <bgColor rgb="FFB4678D"/>
      </patternFill>
    </fill>
    <fill>
      <patternFill patternType="solid">
        <fgColor rgb="FF6B52A9"/>
        <bgColor rgb="FF6B52A9"/>
      </patternFill>
    </fill>
    <fill>
      <patternFill patternType="solid">
        <fgColor rgb="FFB86F93"/>
        <bgColor rgb="FFB86F93"/>
      </patternFill>
    </fill>
    <fill>
      <patternFill patternType="solid">
        <fgColor rgb="FF487ED8"/>
        <bgColor rgb="FF487ED8"/>
      </patternFill>
    </fill>
    <fill>
      <patternFill patternType="solid">
        <fgColor rgb="FF1155CC"/>
        <bgColor rgb="FF1155CC"/>
      </patternFill>
    </fill>
    <fill>
      <patternFill patternType="solid">
        <fgColor rgb="FFB5698E"/>
        <bgColor rgb="FFB5698E"/>
      </patternFill>
    </fill>
    <fill>
      <patternFill patternType="solid">
        <fgColor rgb="FFDAB2C5"/>
        <bgColor rgb="FFDAB2C5"/>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ck">
        <color rgb="FF000000"/>
      </bottom>
      <diagonal/>
    </border>
    <border>
      <left/>
      <right/>
      <top/>
      <bottom style="thick">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style="thin">
        <color rgb="FF000000"/>
      </left>
      <right style="thin">
        <color rgb="FF000000"/>
      </right>
      <top/>
      <bottom style="thick">
        <color rgb="FF000000"/>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thin">
        <color rgb="FF000000"/>
      </left>
      <right/>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s>
  <cellStyleXfs count="2">
    <xf numFmtId="0" fontId="0" fillId="0" borderId="0"/>
    <xf numFmtId="0" fontId="70" fillId="0" borderId="0" applyNumberFormat="0" applyFill="0" applyBorder="0" applyAlignment="0" applyProtection="0"/>
  </cellStyleXfs>
  <cellXfs count="775">
    <xf numFmtId="0" fontId="0" fillId="0" borderId="0" xfId="0" applyFont="1" applyAlignment="1"/>
    <xf numFmtId="0" fontId="1" fillId="2" borderId="1" xfId="0" applyFont="1" applyFill="1" applyBorder="1" applyAlignment="1"/>
    <xf numFmtId="0" fontId="1" fillId="3" borderId="1" xfId="0" applyFont="1" applyFill="1" applyBorder="1" applyAlignment="1">
      <alignment vertical="center" textRotation="90"/>
    </xf>
    <xf numFmtId="0" fontId="1" fillId="4" borderId="1" xfId="0" applyFont="1" applyFill="1" applyBorder="1" applyAlignment="1">
      <alignment vertical="center" textRotation="90"/>
    </xf>
    <xf numFmtId="0" fontId="1" fillId="2" borderId="1" xfId="0" applyFont="1" applyFill="1" applyBorder="1" applyAlignment="1">
      <alignment vertical="center" textRotation="90"/>
    </xf>
    <xf numFmtId="0" fontId="1" fillId="5" borderId="1" xfId="0" applyFont="1" applyFill="1" applyBorder="1" applyAlignment="1">
      <alignment vertical="center" textRotation="90"/>
    </xf>
    <xf numFmtId="0" fontId="1" fillId="6" borderId="1" xfId="0" applyFont="1" applyFill="1" applyBorder="1" applyAlignment="1">
      <alignment vertical="center" textRotation="90"/>
    </xf>
    <xf numFmtId="0" fontId="1" fillId="7" borderId="1" xfId="0" applyFont="1" applyFill="1" applyBorder="1" applyAlignment="1">
      <alignment vertical="center" textRotation="90"/>
    </xf>
    <xf numFmtId="0" fontId="1" fillId="8" borderId="1" xfId="0" applyFont="1" applyFill="1" applyBorder="1" applyAlignment="1">
      <alignment horizontal="center" vertical="center" textRotation="90"/>
    </xf>
    <xf numFmtId="0" fontId="1" fillId="9" borderId="1" xfId="0" applyFont="1" applyFill="1" applyBorder="1" applyAlignment="1">
      <alignment horizontal="center" vertical="center" textRotation="90"/>
    </xf>
    <xf numFmtId="0" fontId="1" fillId="10" borderId="1" xfId="0" applyFont="1" applyFill="1" applyBorder="1" applyAlignment="1">
      <alignment vertical="center" textRotation="90"/>
    </xf>
    <xf numFmtId="0" fontId="1" fillId="11" borderId="1" xfId="0" applyFont="1" applyFill="1" applyBorder="1" applyAlignment="1">
      <alignment vertical="center" textRotation="90"/>
    </xf>
    <xf numFmtId="0" fontId="1" fillId="12" borderId="1" xfId="0" applyFont="1" applyFill="1" applyBorder="1" applyAlignment="1">
      <alignment vertical="center" textRotation="90"/>
    </xf>
    <xf numFmtId="0" fontId="1" fillId="10" borderId="0" xfId="0" applyFont="1" applyFill="1" applyAlignment="1">
      <alignment vertical="center" textRotation="90"/>
    </xf>
    <xf numFmtId="0" fontId="2" fillId="13" borderId="0" xfId="0" applyFont="1" applyFill="1" applyAlignment="1"/>
    <xf numFmtId="0" fontId="3" fillId="13" borderId="0" xfId="0" applyFont="1" applyFill="1" applyAlignment="1"/>
    <xf numFmtId="0" fontId="3" fillId="13" borderId="0" xfId="0" applyFont="1" applyFill="1" applyAlignment="1"/>
    <xf numFmtId="0" fontId="3" fillId="13" borderId="0" xfId="0" applyFont="1" applyFill="1" applyAlignment="1">
      <alignment horizontal="right"/>
    </xf>
    <xf numFmtId="0" fontId="1" fillId="13" borderId="0" xfId="0" applyFont="1" applyFill="1" applyAlignment="1"/>
    <xf numFmtId="0" fontId="4" fillId="14" borderId="2" xfId="0" applyFont="1" applyFill="1" applyBorder="1" applyAlignment="1"/>
    <xf numFmtId="0" fontId="5" fillId="0" borderId="3" xfId="0" applyFont="1" applyBorder="1" applyAlignment="1"/>
    <xf numFmtId="164" fontId="3" fillId="0" borderId="2" xfId="0" applyNumberFormat="1" applyFont="1" applyBorder="1" applyAlignment="1"/>
    <xf numFmtId="164" fontId="3" fillId="0" borderId="3" xfId="0" applyNumberFormat="1" applyFont="1" applyBorder="1" applyAlignment="1"/>
    <xf numFmtId="165" fontId="3" fillId="14" borderId="2" xfId="0" applyNumberFormat="1" applyFont="1" applyFill="1" applyBorder="1" applyAlignment="1"/>
    <xf numFmtId="165" fontId="3" fillId="0" borderId="3" xfId="0" applyNumberFormat="1" applyFont="1" applyBorder="1" applyAlignment="1"/>
    <xf numFmtId="166" fontId="3" fillId="0" borderId="2" xfId="0" applyNumberFormat="1" applyFont="1" applyBorder="1" applyAlignment="1">
      <alignment horizontal="center"/>
    </xf>
    <xf numFmtId="166" fontId="3" fillId="0" borderId="3" xfId="0" applyNumberFormat="1" applyFont="1" applyBorder="1" applyAlignment="1">
      <alignment horizontal="center"/>
    </xf>
    <xf numFmtId="165" fontId="3" fillId="15" borderId="2" xfId="0" applyNumberFormat="1" applyFont="1" applyFill="1" applyBorder="1" applyAlignment="1"/>
    <xf numFmtId="167" fontId="3" fillId="0" borderId="3" xfId="0" applyNumberFormat="1" applyFont="1" applyBorder="1" applyAlignment="1"/>
    <xf numFmtId="165" fontId="3" fillId="16" borderId="2" xfId="0" applyNumberFormat="1" applyFont="1" applyFill="1" applyBorder="1" applyAlignment="1"/>
    <xf numFmtId="49" fontId="3" fillId="17" borderId="3" xfId="0" applyNumberFormat="1" applyFont="1" applyFill="1" applyBorder="1" applyAlignment="1"/>
    <xf numFmtId="49" fontId="3" fillId="0" borderId="2" xfId="0" applyNumberFormat="1" applyFont="1" applyBorder="1" applyAlignment="1"/>
    <xf numFmtId="0" fontId="3" fillId="0" borderId="3" xfId="0" applyFont="1" applyBorder="1" applyAlignment="1">
      <alignment horizontal="right"/>
    </xf>
    <xf numFmtId="0" fontId="3" fillId="0" borderId="2" xfId="0" applyFont="1" applyBorder="1" applyAlignment="1">
      <alignment horizontal="right"/>
    </xf>
    <xf numFmtId="0" fontId="3" fillId="0" borderId="3" xfId="0" applyFont="1" applyBorder="1" applyAlignment="1"/>
    <xf numFmtId="0" fontId="3" fillId="0" borderId="2" xfId="0" applyFont="1" applyBorder="1" applyAlignment="1"/>
    <xf numFmtId="168" fontId="3" fillId="0" borderId="3" xfId="0" applyNumberFormat="1" applyFont="1" applyBorder="1" applyAlignment="1"/>
    <xf numFmtId="169" fontId="3" fillId="0" borderId="2" xfId="0" applyNumberFormat="1" applyFont="1" applyBorder="1" applyAlignment="1"/>
    <xf numFmtId="0" fontId="6" fillId="0" borderId="3" xfId="0" applyFont="1" applyBorder="1" applyAlignment="1"/>
    <xf numFmtId="49" fontId="3" fillId="0" borderId="2" xfId="0" applyNumberFormat="1" applyFont="1" applyBorder="1" applyAlignment="1"/>
    <xf numFmtId="49" fontId="3" fillId="0" borderId="2" xfId="0" applyNumberFormat="1" applyFont="1" applyBorder="1" applyAlignment="1">
      <alignment horizontal="center"/>
    </xf>
    <xf numFmtId="0" fontId="7" fillId="0" borderId="3" xfId="0" applyFont="1" applyBorder="1" applyAlignment="1"/>
    <xf numFmtId="170" fontId="3" fillId="0" borderId="2" xfId="0" applyNumberFormat="1" applyFont="1" applyBorder="1" applyAlignment="1"/>
    <xf numFmtId="169" fontId="3" fillId="0" borderId="3" xfId="0" applyNumberFormat="1" applyFont="1" applyBorder="1" applyAlignment="1"/>
    <xf numFmtId="168" fontId="3" fillId="0" borderId="2" xfId="0" applyNumberFormat="1" applyFont="1" applyBorder="1" applyAlignment="1"/>
    <xf numFmtId="49" fontId="3" fillId="0" borderId="3" xfId="0" applyNumberFormat="1" applyFont="1" applyBorder="1" applyAlignment="1"/>
    <xf numFmtId="49" fontId="3" fillId="0" borderId="3" xfId="0" applyNumberFormat="1" applyFont="1" applyBorder="1" applyAlignment="1">
      <alignment horizontal="center"/>
    </xf>
    <xf numFmtId="0" fontId="8" fillId="0" borderId="2" xfId="0" applyFont="1" applyBorder="1" applyAlignment="1"/>
    <xf numFmtId="0" fontId="3" fillId="0" borderId="4" xfId="0" applyFont="1" applyBorder="1" applyAlignment="1"/>
    <xf numFmtId="0" fontId="1" fillId="0" borderId="5" xfId="0" applyFont="1" applyBorder="1" applyAlignment="1"/>
    <xf numFmtId="164" fontId="3" fillId="0" borderId="5" xfId="0" applyNumberFormat="1" applyFont="1" applyBorder="1" applyAlignment="1"/>
    <xf numFmtId="165" fontId="3" fillId="0" borderId="5" xfId="0" applyNumberFormat="1" applyFont="1" applyBorder="1" applyAlignment="1"/>
    <xf numFmtId="166" fontId="3" fillId="0" borderId="5" xfId="0" applyNumberFormat="1" applyFont="1" applyBorder="1" applyAlignment="1">
      <alignment horizontal="center"/>
    </xf>
    <xf numFmtId="165" fontId="3" fillId="15" borderId="5" xfId="0" applyNumberFormat="1" applyFont="1" applyFill="1" applyBorder="1" applyAlignment="1"/>
    <xf numFmtId="167" fontId="3" fillId="16" borderId="5" xfId="0" applyNumberFormat="1" applyFont="1" applyFill="1" applyBorder="1" applyAlignment="1"/>
    <xf numFmtId="49" fontId="3" fillId="17" borderId="5" xfId="0" applyNumberFormat="1" applyFont="1" applyFill="1" applyBorder="1" applyAlignment="1"/>
    <xf numFmtId="0" fontId="3" fillId="0" borderId="6" xfId="0" applyFont="1" applyBorder="1" applyAlignment="1"/>
    <xf numFmtId="0" fontId="3" fillId="0" borderId="5" xfId="0" applyFont="1" applyBorder="1" applyAlignment="1">
      <alignment horizontal="right"/>
    </xf>
    <xf numFmtId="0" fontId="1" fillId="14" borderId="1" xfId="0" applyFont="1" applyFill="1" applyBorder="1" applyAlignment="1"/>
    <xf numFmtId="0" fontId="3" fillId="0" borderId="5" xfId="0" applyFont="1" applyBorder="1" applyAlignment="1"/>
    <xf numFmtId="164" fontId="3" fillId="0" borderId="1" xfId="0" applyNumberFormat="1" applyFont="1" applyBorder="1" applyAlignment="1"/>
    <xf numFmtId="168" fontId="3" fillId="0" borderId="5" xfId="0" applyNumberFormat="1" applyFont="1" applyBorder="1" applyAlignment="1"/>
    <xf numFmtId="165" fontId="3" fillId="14" borderId="1" xfId="0" applyNumberFormat="1" applyFont="1" applyFill="1" applyBorder="1" applyAlignment="1"/>
    <xf numFmtId="0" fontId="6" fillId="0" borderId="5" xfId="0" applyFont="1" applyBorder="1" applyAlignment="1"/>
    <xf numFmtId="166" fontId="3" fillId="0" borderId="1" xfId="0" applyNumberFormat="1" applyFont="1" applyBorder="1" applyAlignment="1">
      <alignment horizontal="center"/>
    </xf>
    <xf numFmtId="167" fontId="3" fillId="0" borderId="1" xfId="0" applyNumberFormat="1" applyFont="1" applyBorder="1" applyAlignment="1"/>
    <xf numFmtId="0" fontId="1" fillId="14" borderId="5" xfId="0" applyFont="1" applyFill="1" applyBorder="1" applyAlignment="1"/>
    <xf numFmtId="165" fontId="3" fillId="0" borderId="1" xfId="0" applyNumberFormat="1" applyFont="1" applyBorder="1" applyAlignment="1"/>
    <xf numFmtId="165" fontId="3" fillId="14" borderId="5" xfId="0" applyNumberFormat="1" applyFont="1" applyFill="1" applyBorder="1" applyAlignment="1"/>
    <xf numFmtId="0" fontId="9" fillId="0" borderId="5" xfId="0" applyFont="1" applyBorder="1" applyAlignment="1"/>
    <xf numFmtId="49" fontId="3" fillId="0" borderId="1" xfId="0" applyNumberFormat="1" applyFont="1" applyBorder="1" applyAlignment="1"/>
    <xf numFmtId="169" fontId="3" fillId="0" borderId="5" xfId="0" applyNumberFormat="1" applyFont="1" applyBorder="1" applyAlignment="1"/>
    <xf numFmtId="0" fontId="3" fillId="0" borderId="1" xfId="0" applyFont="1" applyBorder="1" applyAlignment="1">
      <alignment horizontal="right"/>
    </xf>
    <xf numFmtId="49" fontId="3" fillId="0" borderId="5" xfId="0" applyNumberFormat="1" applyFont="1" applyBorder="1" applyAlignment="1"/>
    <xf numFmtId="0" fontId="3" fillId="0" borderId="1" xfId="0" applyFont="1" applyBorder="1" applyAlignment="1"/>
    <xf numFmtId="49" fontId="3" fillId="0" borderId="5" xfId="0" applyNumberFormat="1" applyFont="1" applyBorder="1" applyAlignment="1">
      <alignment horizontal="center"/>
    </xf>
    <xf numFmtId="168" fontId="3" fillId="0" borderId="1" xfId="0" applyNumberFormat="1" applyFont="1" applyBorder="1" applyAlignment="1"/>
    <xf numFmtId="0" fontId="3" fillId="0" borderId="0" xfId="0" applyFont="1" applyAlignment="1"/>
    <xf numFmtId="167" fontId="3" fillId="0" borderId="5" xfId="0" applyNumberFormat="1" applyFont="1" applyBorder="1" applyAlignment="1"/>
    <xf numFmtId="0" fontId="10" fillId="0" borderId="1" xfId="0" applyFont="1" applyBorder="1" applyAlignment="1"/>
    <xf numFmtId="165" fontId="3" fillId="15" borderId="3" xfId="0" applyNumberFormat="1" applyFont="1" applyFill="1" applyBorder="1" applyAlignment="1"/>
    <xf numFmtId="49" fontId="3" fillId="0" borderId="5" xfId="0" applyNumberFormat="1" applyFont="1" applyBorder="1" applyAlignment="1">
      <alignment horizontal="center"/>
    </xf>
    <xf numFmtId="167" fontId="3" fillId="16" borderId="3" xfId="0" applyNumberFormat="1" applyFont="1" applyFill="1" applyBorder="1" applyAlignment="1"/>
    <xf numFmtId="170" fontId="3" fillId="0" borderId="5" xfId="0" applyNumberFormat="1" applyFont="1" applyBorder="1" applyAlignment="1"/>
    <xf numFmtId="169" fontId="3" fillId="0" borderId="1" xfId="0" applyNumberFormat="1" applyFont="1" applyBorder="1" applyAlignment="1"/>
    <xf numFmtId="0" fontId="11" fillId="0" borderId="7" xfId="0" applyFont="1" applyBorder="1" applyAlignment="1"/>
    <xf numFmtId="49" fontId="3" fillId="0" borderId="1" xfId="0" applyNumberFormat="1" applyFont="1" applyBorder="1" applyAlignment="1">
      <alignment horizontal="center"/>
    </xf>
    <xf numFmtId="164" fontId="3" fillId="0" borderId="7" xfId="0" applyNumberFormat="1" applyFont="1" applyBorder="1" applyAlignment="1"/>
    <xf numFmtId="170" fontId="3" fillId="0" borderId="1" xfId="0" applyNumberFormat="1" applyFont="1" applyBorder="1" applyAlignment="1"/>
    <xf numFmtId="165" fontId="3" fillId="0" borderId="7" xfId="0" applyNumberFormat="1" applyFont="1" applyBorder="1" applyAlignment="1"/>
    <xf numFmtId="166" fontId="3" fillId="0" borderId="7" xfId="0" applyNumberFormat="1" applyFont="1" applyBorder="1" applyAlignment="1">
      <alignment horizontal="center"/>
    </xf>
    <xf numFmtId="165" fontId="3" fillId="15" borderId="7" xfId="0" applyNumberFormat="1" applyFont="1" applyFill="1" applyBorder="1" applyAlignment="1"/>
    <xf numFmtId="167" fontId="3" fillId="16" borderId="7" xfId="0" applyNumberFormat="1" applyFont="1" applyFill="1" applyBorder="1" applyAlignment="1"/>
    <xf numFmtId="49" fontId="3" fillId="17" borderId="7" xfId="0" applyNumberFormat="1" applyFont="1" applyFill="1" applyBorder="1" applyAlignment="1"/>
    <xf numFmtId="0" fontId="3" fillId="0" borderId="7" xfId="0" applyFont="1" applyBorder="1" applyAlignment="1">
      <alignment horizontal="right"/>
    </xf>
    <xf numFmtId="167" fontId="3" fillId="15" borderId="2" xfId="0" applyNumberFormat="1" applyFont="1" applyFill="1" applyBorder="1" applyAlignment="1"/>
    <xf numFmtId="0" fontId="3" fillId="0" borderId="7" xfId="0" applyFont="1" applyBorder="1" applyAlignment="1"/>
    <xf numFmtId="0" fontId="6" fillId="0" borderId="2" xfId="0" applyFont="1" applyBorder="1" applyAlignment="1"/>
    <xf numFmtId="168" fontId="3" fillId="0" borderId="7" xfId="0" applyNumberFormat="1" applyFont="1" applyBorder="1" applyAlignment="1"/>
    <xf numFmtId="0" fontId="6" fillId="0" borderId="7" xfId="0" applyFont="1" applyBorder="1" applyAlignment="1"/>
    <xf numFmtId="166" fontId="3" fillId="18" borderId="1" xfId="0" applyNumberFormat="1" applyFont="1" applyFill="1" applyBorder="1" applyAlignment="1">
      <alignment horizontal="center"/>
    </xf>
    <xf numFmtId="167" fontId="3" fillId="19" borderId="1" xfId="0" applyNumberFormat="1" applyFont="1" applyFill="1" applyBorder="1" applyAlignment="1"/>
    <xf numFmtId="0" fontId="12" fillId="0" borderId="7" xfId="0" applyFont="1" applyBorder="1" applyAlignment="1"/>
    <xf numFmtId="165" fontId="3" fillId="20" borderId="1" xfId="0" applyNumberFormat="1" applyFont="1" applyFill="1" applyBorder="1" applyAlignment="1"/>
    <xf numFmtId="169" fontId="3" fillId="0" borderId="7" xfId="0" applyNumberFormat="1" applyFont="1" applyBorder="1" applyAlignment="1"/>
    <xf numFmtId="49" fontId="3" fillId="0" borderId="7" xfId="0" applyNumberFormat="1" applyFont="1" applyBorder="1" applyAlignment="1"/>
    <xf numFmtId="166" fontId="3" fillId="18" borderId="5" xfId="0" applyNumberFormat="1" applyFont="1" applyFill="1" applyBorder="1" applyAlignment="1">
      <alignment horizontal="center"/>
    </xf>
    <xf numFmtId="49" fontId="3" fillId="0" borderId="7" xfId="0" applyNumberFormat="1" applyFont="1" applyBorder="1" applyAlignment="1">
      <alignment horizontal="center"/>
    </xf>
    <xf numFmtId="167" fontId="3" fillId="19" borderId="5" xfId="0" applyNumberFormat="1" applyFont="1" applyFill="1" applyBorder="1" applyAlignment="1"/>
    <xf numFmtId="165" fontId="3" fillId="20" borderId="5" xfId="0" applyNumberFormat="1" applyFont="1" applyFill="1" applyBorder="1" applyAlignment="1"/>
    <xf numFmtId="171" fontId="3" fillId="0" borderId="5" xfId="0" applyNumberFormat="1" applyFont="1" applyBorder="1" applyAlignment="1">
      <alignment horizontal="center"/>
    </xf>
    <xf numFmtId="0" fontId="13" fillId="0" borderId="5" xfId="0" applyFont="1" applyBorder="1" applyAlignment="1"/>
    <xf numFmtId="171" fontId="3" fillId="0" borderId="1" xfId="0" applyNumberFormat="1" applyFont="1" applyBorder="1" applyAlignment="1">
      <alignment horizontal="center"/>
    </xf>
    <xf numFmtId="0" fontId="6" fillId="0" borderId="1" xfId="0" applyFont="1" applyBorder="1" applyAlignment="1"/>
    <xf numFmtId="0" fontId="1" fillId="0" borderId="7" xfId="0" applyFont="1" applyBorder="1" applyAlignment="1"/>
    <xf numFmtId="0" fontId="3" fillId="0" borderId="1" xfId="0" applyFont="1" applyBorder="1" applyAlignment="1">
      <alignment horizontal="center"/>
    </xf>
    <xf numFmtId="171" fontId="3" fillId="0" borderId="7" xfId="0" applyNumberFormat="1" applyFont="1" applyBorder="1" applyAlignment="1"/>
    <xf numFmtId="0" fontId="1" fillId="0" borderId="0" xfId="0" applyFont="1" applyAlignment="1"/>
    <xf numFmtId="167" fontId="3" fillId="20" borderId="1" xfId="0" applyNumberFormat="1" applyFont="1" applyFill="1" applyBorder="1" applyAlignment="1"/>
    <xf numFmtId="49" fontId="3" fillId="17" borderId="1" xfId="0" applyNumberFormat="1" applyFont="1" applyFill="1" applyBorder="1" applyAlignment="1"/>
    <xf numFmtId="0" fontId="1" fillId="14" borderId="2" xfId="0" applyFont="1" applyFill="1" applyBorder="1" applyAlignment="1"/>
    <xf numFmtId="0" fontId="6" fillId="0" borderId="1" xfId="0" applyFont="1" applyBorder="1" applyAlignment="1"/>
    <xf numFmtId="167" fontId="3" fillId="0" borderId="2" xfId="0" applyNumberFormat="1" applyFont="1" applyBorder="1" applyAlignment="1"/>
    <xf numFmtId="165" fontId="3" fillId="0" borderId="2" xfId="0" applyNumberFormat="1" applyFont="1" applyBorder="1" applyAlignment="1"/>
    <xf numFmtId="171" fontId="3" fillId="0" borderId="2" xfId="0" applyNumberFormat="1" applyFont="1" applyBorder="1" applyAlignment="1">
      <alignment horizontal="center"/>
    </xf>
    <xf numFmtId="0" fontId="3" fillId="0" borderId="1" xfId="0" applyFont="1" applyBorder="1"/>
    <xf numFmtId="0" fontId="14" fillId="14" borderId="1" xfId="0" applyFont="1" applyFill="1" applyBorder="1" applyAlignment="1"/>
    <xf numFmtId="0" fontId="1" fillId="0" borderId="4" xfId="0" applyFont="1" applyBorder="1" applyAlignment="1"/>
    <xf numFmtId="166" fontId="3" fillId="18" borderId="3" xfId="0" applyNumberFormat="1" applyFont="1" applyFill="1" applyBorder="1" applyAlignment="1">
      <alignment horizontal="center"/>
    </xf>
    <xf numFmtId="167" fontId="3" fillId="19" borderId="3" xfId="0" applyNumberFormat="1" applyFont="1" applyFill="1" applyBorder="1" applyAlignment="1"/>
    <xf numFmtId="0" fontId="3" fillId="0" borderId="6" xfId="0" applyFont="1" applyBorder="1"/>
    <xf numFmtId="167" fontId="3" fillId="20" borderId="3" xfId="0" applyNumberFormat="1" applyFont="1" applyFill="1" applyBorder="1" applyAlignment="1"/>
    <xf numFmtId="0" fontId="15" fillId="14" borderId="8" xfId="0" applyFont="1" applyFill="1" applyBorder="1" applyAlignment="1"/>
    <xf numFmtId="164" fontId="3" fillId="0" borderId="8" xfId="0" applyNumberFormat="1" applyFont="1" applyBorder="1" applyAlignment="1"/>
    <xf numFmtId="0" fontId="3" fillId="5" borderId="1" xfId="0" applyFont="1" applyFill="1" applyBorder="1" applyAlignment="1"/>
    <xf numFmtId="165" fontId="3" fillId="14" borderId="8" xfId="0" applyNumberFormat="1" applyFont="1" applyFill="1" applyBorder="1" applyAlignment="1"/>
    <xf numFmtId="49" fontId="3" fillId="0" borderId="1" xfId="0" applyNumberFormat="1" applyFont="1" applyBorder="1" applyAlignment="1">
      <alignment horizontal="center"/>
    </xf>
    <xf numFmtId="166" fontId="3" fillId="0" borderId="8" xfId="0" applyNumberFormat="1" applyFont="1" applyBorder="1" applyAlignment="1">
      <alignment horizontal="center"/>
    </xf>
    <xf numFmtId="171" fontId="3" fillId="0" borderId="3" xfId="0" applyNumberFormat="1" applyFont="1" applyBorder="1" applyAlignment="1">
      <alignment horizontal="center"/>
    </xf>
    <xf numFmtId="167" fontId="3" fillId="15" borderId="8" xfId="0" applyNumberFormat="1" applyFont="1" applyFill="1" applyBorder="1" applyAlignment="1"/>
    <xf numFmtId="0" fontId="3" fillId="0" borderId="3" xfId="0" applyFont="1" applyBorder="1"/>
    <xf numFmtId="165" fontId="3" fillId="16" borderId="8" xfId="0" applyNumberFormat="1" applyFont="1" applyFill="1" applyBorder="1" applyAlignment="1"/>
    <xf numFmtId="166" fontId="3" fillId="18" borderId="7" xfId="0" applyNumberFormat="1" applyFont="1" applyFill="1" applyBorder="1" applyAlignment="1">
      <alignment horizontal="center"/>
    </xf>
    <xf numFmtId="49" fontId="3" fillId="0" borderId="8" xfId="0" applyNumberFormat="1" applyFont="1" applyBorder="1" applyAlignment="1"/>
    <xf numFmtId="167" fontId="3" fillId="0" borderId="7" xfId="0" applyNumberFormat="1" applyFont="1" applyBorder="1" applyAlignment="1"/>
    <xf numFmtId="0" fontId="3" fillId="0" borderId="8" xfId="0" applyFont="1" applyBorder="1" applyAlignment="1">
      <alignment horizontal="right"/>
    </xf>
    <xf numFmtId="0" fontId="3" fillId="0" borderId="8" xfId="0" applyFont="1" applyBorder="1" applyAlignment="1"/>
    <xf numFmtId="169" fontId="3" fillId="0" borderId="8" xfId="0" applyNumberFormat="1" applyFont="1" applyBorder="1" applyAlignment="1"/>
    <xf numFmtId="167" fontId="3" fillId="20" borderId="7" xfId="0" applyNumberFormat="1" applyFont="1" applyFill="1" applyBorder="1" applyAlignment="1"/>
    <xf numFmtId="49" fontId="3" fillId="0" borderId="8" xfId="0" applyNumberFormat="1" applyFont="1" applyBorder="1" applyAlignment="1">
      <alignment horizontal="center"/>
    </xf>
    <xf numFmtId="170" fontId="3" fillId="0" borderId="8" xfId="0" applyNumberFormat="1" applyFont="1" applyBorder="1" applyAlignment="1"/>
    <xf numFmtId="168" fontId="3" fillId="0" borderId="8" xfId="0" applyNumberFormat="1" applyFont="1" applyBorder="1" applyAlignment="1"/>
    <xf numFmtId="167" fontId="3" fillId="21" borderId="1" xfId="0" applyNumberFormat="1" applyFont="1" applyFill="1" applyBorder="1" applyAlignment="1"/>
    <xf numFmtId="171" fontId="3" fillId="0" borderId="7" xfId="0" applyNumberFormat="1" applyFont="1" applyBorder="1" applyAlignment="1">
      <alignment horizontal="center"/>
    </xf>
    <xf numFmtId="0" fontId="16" fillId="0" borderId="8" xfId="0" applyFont="1" applyBorder="1" applyAlignment="1"/>
    <xf numFmtId="0" fontId="3" fillId="0" borderId="7" xfId="0" applyFont="1" applyBorder="1"/>
    <xf numFmtId="168" fontId="3" fillId="22" borderId="1" xfId="0" applyNumberFormat="1" applyFont="1" applyFill="1" applyBorder="1" applyAlignment="1"/>
    <xf numFmtId="0" fontId="17" fillId="14" borderId="5" xfId="0" applyFont="1" applyFill="1" applyBorder="1" applyAlignment="1"/>
    <xf numFmtId="0" fontId="3" fillId="5" borderId="5" xfId="0" applyFont="1" applyFill="1" applyBorder="1" applyAlignment="1"/>
    <xf numFmtId="0" fontId="18" fillId="0" borderId="0" xfId="0" applyFont="1" applyAlignment="1"/>
    <xf numFmtId="0" fontId="3" fillId="0" borderId="0" xfId="0" applyFont="1" applyAlignment="1"/>
    <xf numFmtId="167" fontId="3" fillId="20" borderId="5" xfId="0" applyNumberFormat="1" applyFont="1" applyFill="1" applyBorder="1" applyAlignment="1"/>
    <xf numFmtId="49" fontId="3" fillId="0" borderId="2" xfId="0" applyNumberFormat="1" applyFont="1" applyBorder="1" applyAlignment="1">
      <alignment horizontal="center"/>
    </xf>
    <xf numFmtId="0" fontId="1" fillId="14" borderId="1" xfId="0" applyFont="1" applyFill="1" applyBorder="1" applyAlignment="1"/>
    <xf numFmtId="167" fontId="3" fillId="21" borderId="8" xfId="0" applyNumberFormat="1" applyFont="1" applyFill="1" applyBorder="1" applyAlignment="1"/>
    <xf numFmtId="166" fontId="3" fillId="23" borderId="1" xfId="0" applyNumberFormat="1" applyFont="1" applyFill="1" applyBorder="1" applyAlignment="1">
      <alignment horizontal="center"/>
    </xf>
    <xf numFmtId="165" fontId="3" fillId="0" borderId="8" xfId="0" applyNumberFormat="1" applyFont="1" applyBorder="1" applyAlignment="1"/>
    <xf numFmtId="0" fontId="3" fillId="0" borderId="5" xfId="0" applyFont="1" applyBorder="1"/>
    <xf numFmtId="168" fontId="3" fillId="22" borderId="8" xfId="0" applyNumberFormat="1" applyFont="1" applyFill="1" applyBorder="1" applyAlignment="1"/>
    <xf numFmtId="0" fontId="19" fillId="14" borderId="0" xfId="0" applyFont="1" applyFill="1" applyAlignment="1"/>
    <xf numFmtId="0" fontId="20" fillId="0" borderId="0" xfId="0" applyFont="1" applyAlignment="1"/>
    <xf numFmtId="0" fontId="21" fillId="14" borderId="0" xfId="0" applyFont="1" applyFill="1" applyAlignment="1"/>
    <xf numFmtId="0" fontId="1" fillId="14" borderId="2" xfId="0" applyFont="1" applyFill="1" applyBorder="1" applyAlignment="1"/>
    <xf numFmtId="166" fontId="3" fillId="24" borderId="1" xfId="0" applyNumberFormat="1" applyFont="1" applyFill="1" applyBorder="1" applyAlignment="1">
      <alignment horizontal="center"/>
    </xf>
    <xf numFmtId="0" fontId="6" fillId="0" borderId="2" xfId="0" applyFont="1" applyBorder="1" applyAlignment="1"/>
    <xf numFmtId="165" fontId="22" fillId="25" borderId="5" xfId="0" applyNumberFormat="1" applyFont="1" applyFill="1" applyBorder="1" applyAlignment="1">
      <alignment horizontal="right"/>
    </xf>
    <xf numFmtId="165" fontId="22" fillId="25" borderId="9" xfId="0" applyNumberFormat="1" applyFont="1" applyFill="1" applyBorder="1" applyAlignment="1"/>
    <xf numFmtId="166" fontId="3" fillId="23" borderId="5" xfId="0" applyNumberFormat="1" applyFont="1" applyFill="1" applyBorder="1" applyAlignment="1">
      <alignment horizontal="center"/>
    </xf>
    <xf numFmtId="0" fontId="21" fillId="14" borderId="4" xfId="0" applyFont="1" applyFill="1" applyBorder="1" applyAlignment="1"/>
    <xf numFmtId="0" fontId="6" fillId="0" borderId="3" xfId="0" applyFont="1" applyBorder="1" applyAlignment="1"/>
    <xf numFmtId="0" fontId="3" fillId="0" borderId="4" xfId="0" applyFont="1" applyBorder="1"/>
    <xf numFmtId="165" fontId="22" fillId="25" borderId="1" xfId="0" applyNumberFormat="1" applyFont="1" applyFill="1" applyBorder="1" applyAlignment="1">
      <alignment horizontal="right"/>
    </xf>
    <xf numFmtId="165" fontId="22" fillId="0" borderId="10" xfId="0" applyNumberFormat="1" applyFont="1" applyBorder="1" applyAlignment="1"/>
    <xf numFmtId="0" fontId="6" fillId="0" borderId="7" xfId="0" applyFont="1" applyBorder="1" applyAlignment="1"/>
    <xf numFmtId="168" fontId="3" fillId="26" borderId="1" xfId="0" applyNumberFormat="1" applyFont="1" applyFill="1" applyBorder="1" applyAlignment="1"/>
    <xf numFmtId="0" fontId="21" fillId="0" borderId="4" xfId="0" applyFont="1" applyBorder="1" applyAlignment="1"/>
    <xf numFmtId="0" fontId="3" fillId="17" borderId="7" xfId="0" applyFont="1" applyFill="1" applyBorder="1" applyAlignment="1"/>
    <xf numFmtId="165" fontId="22" fillId="25" borderId="1" xfId="0" applyNumberFormat="1" applyFont="1" applyFill="1" applyBorder="1" applyAlignment="1">
      <alignment horizontal="right"/>
    </xf>
    <xf numFmtId="165" fontId="22" fillId="0" borderId="10" xfId="0" applyNumberFormat="1" applyFont="1" applyBorder="1" applyAlignment="1"/>
    <xf numFmtId="0" fontId="6" fillId="0" borderId="5" xfId="0" applyFont="1" applyBorder="1" applyAlignment="1"/>
    <xf numFmtId="166" fontId="3" fillId="24" borderId="2" xfId="0" applyNumberFormat="1" applyFont="1" applyFill="1" applyBorder="1" applyAlignment="1">
      <alignment horizontal="center"/>
    </xf>
    <xf numFmtId="165" fontId="22" fillId="25" borderId="8" xfId="0" applyNumberFormat="1" applyFont="1" applyFill="1" applyBorder="1" applyAlignment="1">
      <alignment horizontal="right"/>
    </xf>
    <xf numFmtId="166" fontId="3" fillId="27" borderId="1" xfId="0" applyNumberFormat="1" applyFont="1" applyFill="1" applyBorder="1" applyAlignment="1">
      <alignment horizontal="center"/>
    </xf>
    <xf numFmtId="165" fontId="22" fillId="25" borderId="11" xfId="0" applyNumberFormat="1" applyFont="1" applyFill="1" applyBorder="1" applyAlignment="1"/>
    <xf numFmtId="165" fontId="22" fillId="25" borderId="5" xfId="0" applyNumberFormat="1" applyFont="1" applyFill="1" applyBorder="1" applyAlignment="1">
      <alignment horizontal="right"/>
    </xf>
    <xf numFmtId="165" fontId="22" fillId="0" borderId="9" xfId="0" applyNumberFormat="1" applyFont="1" applyBorder="1" applyAlignment="1"/>
    <xf numFmtId="0" fontId="23" fillId="0" borderId="1" xfId="0" applyFont="1" applyBorder="1" applyAlignment="1"/>
    <xf numFmtId="0" fontId="1" fillId="0" borderId="3" xfId="0" applyFont="1" applyBorder="1" applyAlignment="1"/>
    <xf numFmtId="0" fontId="1" fillId="0" borderId="1" xfId="0" applyFont="1" applyBorder="1" applyAlignment="1"/>
    <xf numFmtId="165" fontId="22" fillId="25" borderId="5" xfId="0" applyNumberFormat="1" applyFont="1" applyFill="1" applyBorder="1" applyAlignment="1">
      <alignment horizontal="right"/>
    </xf>
    <xf numFmtId="165" fontId="22" fillId="25" borderId="9" xfId="0" applyNumberFormat="1" applyFont="1" applyFill="1" applyBorder="1" applyAlignment="1"/>
    <xf numFmtId="0" fontId="3" fillId="28" borderId="1" xfId="0" applyFont="1" applyFill="1" applyBorder="1" applyAlignment="1"/>
    <xf numFmtId="167" fontId="3" fillId="15" borderId="7" xfId="0" applyNumberFormat="1" applyFont="1" applyFill="1" applyBorder="1" applyAlignment="1"/>
    <xf numFmtId="168" fontId="3" fillId="0" borderId="12" xfId="0" applyNumberFormat="1" applyFont="1" applyBorder="1" applyAlignment="1"/>
    <xf numFmtId="167" fontId="3" fillId="16" borderId="7" xfId="0" applyNumberFormat="1" applyFont="1" applyFill="1" applyBorder="1" applyAlignment="1"/>
    <xf numFmtId="49" fontId="3" fillId="17" borderId="7" xfId="0" applyNumberFormat="1" applyFont="1" applyFill="1" applyBorder="1" applyAlignment="1"/>
    <xf numFmtId="166" fontId="3" fillId="27" borderId="5" xfId="0" applyNumberFormat="1" applyFont="1" applyFill="1" applyBorder="1" applyAlignment="1">
      <alignment horizontal="center"/>
    </xf>
    <xf numFmtId="0" fontId="1" fillId="0" borderId="0" xfId="0" applyFont="1" applyAlignment="1"/>
    <xf numFmtId="164" fontId="3" fillId="0" borderId="0" xfId="0" applyNumberFormat="1" applyFont="1" applyAlignment="1"/>
    <xf numFmtId="165" fontId="3" fillId="0" borderId="0" xfId="0" applyNumberFormat="1" applyFont="1" applyAlignment="1"/>
    <xf numFmtId="172" fontId="3" fillId="0" borderId="0" xfId="0" applyNumberFormat="1" applyFont="1" applyAlignment="1"/>
    <xf numFmtId="173" fontId="22" fillId="0" borderId="9" xfId="0" applyNumberFormat="1" applyFont="1" applyBorder="1" applyAlignment="1"/>
    <xf numFmtId="0" fontId="3" fillId="0" borderId="0" xfId="0" applyFont="1" applyAlignment="1">
      <alignment horizontal="right"/>
    </xf>
    <xf numFmtId="168" fontId="3" fillId="0" borderId="0" xfId="0" applyNumberFormat="1" applyFont="1" applyAlignment="1"/>
    <xf numFmtId="0" fontId="6" fillId="0" borderId="0" xfId="0" applyFont="1"/>
    <xf numFmtId="169" fontId="3" fillId="0" borderId="0" xfId="0" applyNumberFormat="1" applyFont="1" applyAlignment="1"/>
    <xf numFmtId="173" fontId="22" fillId="25" borderId="9" xfId="0" applyNumberFormat="1" applyFont="1" applyFill="1" applyBorder="1" applyAlignment="1"/>
    <xf numFmtId="165" fontId="22" fillId="25" borderId="13" xfId="0" applyNumberFormat="1" applyFont="1" applyFill="1" applyBorder="1" applyAlignment="1">
      <alignment horizontal="right"/>
    </xf>
    <xf numFmtId="173" fontId="22" fillId="0" borderId="14" xfId="0" applyNumberFormat="1" applyFont="1" applyBorder="1" applyAlignment="1"/>
    <xf numFmtId="165" fontId="22" fillId="0" borderId="0" xfId="0" applyNumberFormat="1" applyFont="1" applyAlignment="1"/>
    <xf numFmtId="173" fontId="22" fillId="0" borderId="0" xfId="0" applyNumberFormat="1" applyFont="1" applyAlignment="1"/>
    <xf numFmtId="165" fontId="22" fillId="25" borderId="8" xfId="0" applyNumberFormat="1" applyFont="1" applyFill="1" applyBorder="1" applyAlignment="1">
      <alignment horizontal="right"/>
    </xf>
    <xf numFmtId="0" fontId="3" fillId="0" borderId="2" xfId="0" applyFont="1" applyBorder="1"/>
    <xf numFmtId="0" fontId="3" fillId="0" borderId="0" xfId="0" applyFont="1" applyAlignment="1"/>
    <xf numFmtId="0" fontId="2" fillId="14" borderId="0" xfId="0" applyFont="1" applyFill="1" applyAlignment="1"/>
    <xf numFmtId="0" fontId="1" fillId="4" borderId="0" xfId="0" applyFont="1" applyFill="1" applyAlignment="1"/>
    <xf numFmtId="0" fontId="3" fillId="0" borderId="0" xfId="0" applyFont="1" applyAlignment="1">
      <alignment horizontal="right"/>
    </xf>
    <xf numFmtId="0" fontId="24" fillId="11" borderId="0" xfId="0" applyFont="1" applyFill="1" applyAlignment="1"/>
    <xf numFmtId="0" fontId="3" fillId="11" borderId="0" xfId="0" applyFont="1" applyFill="1"/>
    <xf numFmtId="165" fontId="22" fillId="11" borderId="0" xfId="0" applyNumberFormat="1" applyFont="1" applyFill="1" applyAlignment="1"/>
    <xf numFmtId="173" fontId="22" fillId="11" borderId="0" xfId="0" applyNumberFormat="1" applyFont="1" applyFill="1" applyAlignment="1"/>
    <xf numFmtId="0" fontId="3" fillId="11" borderId="0" xfId="0" applyFont="1" applyFill="1" applyAlignment="1">
      <alignment horizontal="right"/>
    </xf>
    <xf numFmtId="165" fontId="22" fillId="0" borderId="9" xfId="0" applyNumberFormat="1" applyFont="1" applyBorder="1" applyAlignment="1"/>
    <xf numFmtId="0" fontId="1" fillId="0" borderId="0" xfId="0" applyFont="1"/>
    <xf numFmtId="0" fontId="3" fillId="11" borderId="1" xfId="0" applyFont="1" applyFill="1" applyBorder="1" applyAlignment="1">
      <alignment horizontal="right"/>
    </xf>
    <xf numFmtId="166" fontId="3" fillId="29" borderId="1" xfId="0" applyNumberFormat="1" applyFont="1" applyFill="1" applyBorder="1" applyAlignment="1">
      <alignment horizontal="center"/>
    </xf>
    <xf numFmtId="0" fontId="3" fillId="30" borderId="1" xfId="0" applyFont="1" applyFill="1" applyBorder="1" applyAlignment="1">
      <alignment horizontal="right"/>
    </xf>
    <xf numFmtId="165" fontId="22" fillId="0" borderId="11" xfId="0" applyNumberFormat="1" applyFont="1" applyBorder="1" applyAlignment="1"/>
    <xf numFmtId="0" fontId="3" fillId="5" borderId="2" xfId="0" applyFont="1" applyFill="1" applyBorder="1" applyAlignment="1"/>
    <xf numFmtId="0" fontId="3" fillId="29" borderId="1" xfId="0" applyFont="1" applyFill="1" applyBorder="1" applyAlignment="1"/>
    <xf numFmtId="0" fontId="3" fillId="11" borderId="2" xfId="0" applyFont="1" applyFill="1" applyBorder="1" applyAlignment="1">
      <alignment horizontal="right"/>
    </xf>
    <xf numFmtId="168" fontId="3" fillId="31" borderId="1" xfId="0" applyNumberFormat="1" applyFont="1" applyFill="1" applyBorder="1" applyAlignment="1"/>
    <xf numFmtId="166" fontId="3" fillId="29" borderId="5" xfId="0" applyNumberFormat="1" applyFont="1" applyFill="1" applyBorder="1" applyAlignment="1">
      <alignment horizontal="center"/>
    </xf>
    <xf numFmtId="0" fontId="3" fillId="30" borderId="5" xfId="0" applyFont="1" applyFill="1" applyBorder="1" applyAlignment="1">
      <alignment horizontal="right"/>
    </xf>
    <xf numFmtId="0" fontId="3" fillId="32" borderId="1" xfId="0" applyFont="1" applyFill="1" applyBorder="1" applyAlignment="1">
      <alignment horizontal="right"/>
    </xf>
    <xf numFmtId="165" fontId="3" fillId="15" borderId="1" xfId="0" applyNumberFormat="1" applyFont="1" applyFill="1" applyBorder="1" applyAlignment="1"/>
    <xf numFmtId="165" fontId="3" fillId="16" borderId="1" xfId="0" applyNumberFormat="1" applyFont="1" applyFill="1" applyBorder="1" applyAlignment="1"/>
    <xf numFmtId="49" fontId="3" fillId="0" borderId="1" xfId="0" applyNumberFormat="1" applyFont="1" applyBorder="1" applyAlignment="1"/>
    <xf numFmtId="167" fontId="3" fillId="15" borderId="1" xfId="0" applyNumberFormat="1" applyFont="1" applyFill="1" applyBorder="1" applyAlignment="1"/>
    <xf numFmtId="164" fontId="22" fillId="12" borderId="10" xfId="0" applyNumberFormat="1" applyFont="1" applyFill="1" applyBorder="1" applyAlignment="1">
      <alignment horizontal="right"/>
    </xf>
    <xf numFmtId="165" fontId="22" fillId="14" borderId="10" xfId="0" applyNumberFormat="1" applyFont="1" applyFill="1" applyBorder="1" applyAlignment="1">
      <alignment horizontal="right"/>
    </xf>
    <xf numFmtId="166" fontId="22" fillId="34" borderId="10" xfId="0" applyNumberFormat="1" applyFont="1" applyFill="1" applyBorder="1" applyAlignment="1">
      <alignment horizontal="center"/>
    </xf>
    <xf numFmtId="165" fontId="22" fillId="35" borderId="10" xfId="0" applyNumberFormat="1" applyFont="1" applyFill="1" applyBorder="1" applyAlignment="1">
      <alignment horizontal="right"/>
    </xf>
    <xf numFmtId="165" fontId="22" fillId="36" borderId="10" xfId="0" applyNumberFormat="1" applyFont="1" applyFill="1" applyBorder="1" applyAlignment="1">
      <alignment horizontal="right"/>
    </xf>
    <xf numFmtId="49" fontId="22" fillId="0" borderId="10" xfId="0" applyNumberFormat="1" applyFont="1" applyBorder="1" applyAlignment="1"/>
    <xf numFmtId="0" fontId="22" fillId="0" borderId="10" xfId="0" applyFont="1" applyBorder="1" applyAlignment="1">
      <alignment horizontal="right"/>
    </xf>
    <xf numFmtId="0" fontId="22" fillId="23" borderId="10" xfId="0" applyFont="1" applyFill="1" applyBorder="1" applyAlignment="1">
      <alignment horizontal="right"/>
    </xf>
    <xf numFmtId="169" fontId="22" fillId="0" borderId="10" xfId="0" applyNumberFormat="1" applyFont="1" applyBorder="1" applyAlignment="1"/>
    <xf numFmtId="0" fontId="22" fillId="0" borderId="10" xfId="0" applyFont="1" applyBorder="1" applyAlignment="1">
      <alignment horizontal="right"/>
    </xf>
    <xf numFmtId="49" fontId="22" fillId="0" borderId="10" xfId="0" applyNumberFormat="1" applyFont="1" applyBorder="1" applyAlignment="1">
      <alignment horizontal="center"/>
    </xf>
    <xf numFmtId="0" fontId="22" fillId="0" borderId="10" xfId="0" applyFont="1" applyBorder="1" applyAlignment="1"/>
    <xf numFmtId="168" fontId="22" fillId="26" borderId="15" xfId="0" applyNumberFormat="1" applyFont="1" applyFill="1" applyBorder="1" applyAlignment="1">
      <alignment horizontal="right"/>
    </xf>
    <xf numFmtId="168" fontId="22" fillId="0" borderId="16" xfId="0" applyNumberFormat="1" applyFont="1" applyBorder="1" applyAlignment="1"/>
    <xf numFmtId="0" fontId="3" fillId="18" borderId="1" xfId="0" applyFont="1" applyFill="1" applyBorder="1" applyAlignment="1"/>
    <xf numFmtId="168" fontId="3" fillId="31" borderId="2" xfId="0" applyNumberFormat="1" applyFont="1" applyFill="1" applyBorder="1" applyAlignment="1"/>
    <xf numFmtId="166" fontId="3" fillId="22" borderId="5" xfId="0" applyNumberFormat="1" applyFont="1" applyFill="1" applyBorder="1" applyAlignment="1">
      <alignment horizontal="center"/>
    </xf>
    <xf numFmtId="0" fontId="3" fillId="29" borderId="2" xfId="0" applyFont="1" applyFill="1" applyBorder="1" applyAlignment="1"/>
    <xf numFmtId="168" fontId="3" fillId="26" borderId="5" xfId="0" applyNumberFormat="1" applyFont="1" applyFill="1" applyBorder="1" applyAlignment="1"/>
    <xf numFmtId="0" fontId="3" fillId="28" borderId="2" xfId="0" applyFont="1" applyFill="1" applyBorder="1" applyAlignment="1"/>
    <xf numFmtId="0" fontId="3" fillId="8" borderId="1" xfId="0" applyFont="1" applyFill="1" applyBorder="1" applyAlignment="1">
      <alignment horizontal="right"/>
    </xf>
    <xf numFmtId="0" fontId="3" fillId="18" borderId="2" xfId="0" applyFont="1" applyFill="1" applyBorder="1" applyAlignment="1"/>
    <xf numFmtId="168" fontId="3" fillId="26" borderId="2" xfId="0" applyNumberFormat="1" applyFont="1" applyFill="1" applyBorder="1" applyAlignment="1"/>
    <xf numFmtId="171" fontId="3" fillId="0" borderId="8" xfId="0" applyNumberFormat="1" applyFont="1" applyBorder="1" applyAlignment="1">
      <alignment horizontal="center"/>
    </xf>
    <xf numFmtId="0" fontId="6" fillId="0" borderId="8" xfId="0" applyFont="1" applyBorder="1" applyAlignment="1"/>
    <xf numFmtId="0" fontId="3" fillId="27" borderId="8" xfId="0" applyFont="1" applyFill="1" applyBorder="1" applyAlignment="1"/>
    <xf numFmtId="170" fontId="3" fillId="0" borderId="6" xfId="0" applyNumberFormat="1" applyFont="1" applyBorder="1" applyAlignment="1"/>
    <xf numFmtId="0" fontId="3" fillId="18" borderId="5" xfId="0" applyFont="1" applyFill="1" applyBorder="1" applyAlignment="1"/>
    <xf numFmtId="168" fontId="3" fillId="31" borderId="5" xfId="0" applyNumberFormat="1" applyFont="1" applyFill="1" applyBorder="1" applyAlignment="1"/>
    <xf numFmtId="0" fontId="3" fillId="37" borderId="1" xfId="0" applyFont="1" applyFill="1" applyBorder="1" applyAlignment="1">
      <alignment horizontal="right"/>
    </xf>
    <xf numFmtId="165" fontId="22" fillId="0" borderId="5" xfId="0" applyNumberFormat="1" applyFont="1" applyBorder="1" applyAlignment="1">
      <alignment horizontal="right"/>
    </xf>
    <xf numFmtId="0" fontId="3" fillId="0" borderId="2" xfId="0" applyFont="1" applyBorder="1" applyAlignment="1">
      <alignment horizontal="center"/>
    </xf>
    <xf numFmtId="0" fontId="1" fillId="14" borderId="12" xfId="0" applyFont="1" applyFill="1" applyBorder="1" applyAlignment="1"/>
    <xf numFmtId="164" fontId="3" fillId="0" borderId="12" xfId="0" applyNumberFormat="1" applyFont="1" applyBorder="1" applyAlignment="1"/>
    <xf numFmtId="165" fontId="3" fillId="14" borderId="12" xfId="0" applyNumberFormat="1" applyFont="1" applyFill="1" applyBorder="1" applyAlignment="1"/>
    <xf numFmtId="166" fontId="3" fillId="0" borderId="12" xfId="0" applyNumberFormat="1" applyFont="1" applyBorder="1" applyAlignment="1">
      <alignment horizontal="center"/>
    </xf>
    <xf numFmtId="0" fontId="3" fillId="0" borderId="12" xfId="0" applyFont="1" applyBorder="1" applyAlignment="1"/>
    <xf numFmtId="0" fontId="3" fillId="0" borderId="12" xfId="0" applyFont="1" applyBorder="1" applyAlignment="1">
      <alignment horizontal="right"/>
    </xf>
    <xf numFmtId="169" fontId="3" fillId="0" borderId="12" xfId="0" applyNumberFormat="1" applyFont="1" applyBorder="1" applyAlignment="1"/>
    <xf numFmtId="0" fontId="3" fillId="0" borderId="12" xfId="0" applyFont="1" applyBorder="1" applyAlignment="1">
      <alignment horizontal="center"/>
    </xf>
    <xf numFmtId="170" fontId="3" fillId="0" borderId="12" xfId="0" applyNumberFormat="1" applyFont="1" applyBorder="1" applyAlignment="1"/>
    <xf numFmtId="170" fontId="3" fillId="0" borderId="0" xfId="0" applyNumberFormat="1" applyFont="1" applyAlignment="1"/>
    <xf numFmtId="165" fontId="22" fillId="0" borderId="14" xfId="0" applyNumberFormat="1" applyFont="1" applyBorder="1" applyAlignment="1"/>
    <xf numFmtId="170" fontId="3" fillId="0" borderId="1" xfId="0" applyNumberFormat="1" applyFont="1" applyBorder="1" applyAlignment="1"/>
    <xf numFmtId="0" fontId="3" fillId="18" borderId="8" xfId="0" applyFont="1" applyFill="1" applyBorder="1" applyAlignment="1"/>
    <xf numFmtId="0" fontId="3" fillId="5" borderId="8" xfId="0" applyFont="1" applyFill="1" applyBorder="1" applyAlignment="1"/>
    <xf numFmtId="0" fontId="3" fillId="29" borderId="5" xfId="0" applyFont="1" applyFill="1" applyBorder="1" applyAlignment="1"/>
    <xf numFmtId="0" fontId="1" fillId="14" borderId="8" xfId="0" applyFont="1" applyFill="1" applyBorder="1" applyAlignment="1"/>
    <xf numFmtId="165" fontId="22" fillId="25" borderId="11" xfId="0" applyNumberFormat="1" applyFont="1" applyFill="1" applyBorder="1" applyAlignment="1"/>
    <xf numFmtId="0" fontId="3" fillId="37" borderId="8" xfId="0" applyFont="1" applyFill="1" applyBorder="1" applyAlignment="1">
      <alignment horizontal="right"/>
    </xf>
    <xf numFmtId="0" fontId="3" fillId="32" borderId="8" xfId="0" applyFont="1" applyFill="1" applyBorder="1" applyAlignment="1">
      <alignment horizontal="right"/>
    </xf>
    <xf numFmtId="0" fontId="3" fillId="0" borderId="8" xfId="0" applyFont="1" applyBorder="1" applyAlignment="1">
      <alignment horizontal="center"/>
    </xf>
    <xf numFmtId="0" fontId="1" fillId="14" borderId="13" xfId="0" applyFont="1" applyFill="1" applyBorder="1" applyAlignment="1"/>
    <xf numFmtId="164" fontId="3" fillId="0" borderId="13" xfId="0" applyNumberFormat="1" applyFont="1" applyBorder="1" applyAlignment="1"/>
    <xf numFmtId="165" fontId="3" fillId="14" borderId="13" xfId="0" applyNumberFormat="1" applyFont="1" applyFill="1" applyBorder="1" applyAlignment="1"/>
    <xf numFmtId="166" fontId="3" fillId="22" borderId="1" xfId="0" applyNumberFormat="1" applyFont="1" applyFill="1" applyBorder="1" applyAlignment="1">
      <alignment horizontal="center"/>
    </xf>
    <xf numFmtId="166" fontId="3" fillId="0" borderId="13" xfId="0" applyNumberFormat="1" applyFont="1" applyBorder="1" applyAlignment="1">
      <alignment horizontal="center"/>
    </xf>
    <xf numFmtId="0" fontId="3" fillId="0" borderId="13" xfId="0" applyFont="1" applyBorder="1" applyAlignment="1"/>
    <xf numFmtId="0" fontId="3" fillId="0" borderId="13" xfId="0" applyFont="1" applyBorder="1" applyAlignment="1">
      <alignment horizontal="right"/>
    </xf>
    <xf numFmtId="169" fontId="3" fillId="0" borderId="13" xfId="0" applyNumberFormat="1" applyFont="1" applyBorder="1" applyAlignment="1"/>
    <xf numFmtId="0" fontId="3" fillId="0" borderId="13" xfId="0" applyFont="1" applyBorder="1" applyAlignment="1">
      <alignment horizontal="center"/>
    </xf>
    <xf numFmtId="170" fontId="3" fillId="0" borderId="13" xfId="0" applyNumberFormat="1" applyFont="1" applyBorder="1" applyAlignment="1"/>
    <xf numFmtId="168" fontId="3" fillId="0" borderId="13" xfId="0" applyNumberFormat="1" applyFont="1" applyBorder="1" applyAlignment="1"/>
    <xf numFmtId="0" fontId="25" fillId="0" borderId="0" xfId="0" applyFont="1" applyAlignment="1"/>
    <xf numFmtId="0" fontId="26" fillId="14" borderId="0" xfId="0" applyFont="1" applyFill="1" applyAlignment="1"/>
    <xf numFmtId="165" fontId="27" fillId="0" borderId="0" xfId="0" applyNumberFormat="1" applyFont="1" applyAlignment="1"/>
    <xf numFmtId="173" fontId="27" fillId="0" borderId="0" xfId="0" applyNumberFormat="1" applyFont="1" applyAlignment="1"/>
    <xf numFmtId="0" fontId="25" fillId="0" borderId="0" xfId="0" applyFont="1" applyAlignment="1">
      <alignment horizontal="right"/>
    </xf>
    <xf numFmtId="0" fontId="28" fillId="0" borderId="0" xfId="0" applyFont="1"/>
    <xf numFmtId="0" fontId="2" fillId="0" borderId="0" xfId="0" applyFont="1" applyAlignment="1"/>
    <xf numFmtId="0" fontId="29" fillId="11" borderId="0" xfId="0" applyFont="1" applyFill="1" applyAlignment="1"/>
    <xf numFmtId="0" fontId="3" fillId="27" borderId="1" xfId="0" applyFont="1" applyFill="1" applyBorder="1" applyAlignment="1"/>
    <xf numFmtId="0" fontId="30" fillId="33" borderId="1" xfId="0" applyFont="1" applyFill="1" applyBorder="1" applyAlignment="1"/>
    <xf numFmtId="167" fontId="3" fillId="16" borderId="1" xfId="0" applyNumberFormat="1" applyFont="1" applyFill="1" applyBorder="1" applyAlignment="1"/>
    <xf numFmtId="0" fontId="1" fillId="0" borderId="1" xfId="0" applyFont="1" applyBorder="1" applyAlignment="1"/>
    <xf numFmtId="167" fontId="3" fillId="16" borderId="1" xfId="0" applyNumberFormat="1" applyFont="1" applyFill="1" applyBorder="1" applyAlignment="1"/>
    <xf numFmtId="49" fontId="3" fillId="17" borderId="1" xfId="0" applyNumberFormat="1" applyFont="1" applyFill="1" applyBorder="1" applyAlignment="1"/>
    <xf numFmtId="0" fontId="1" fillId="7" borderId="1" xfId="0" applyFont="1" applyFill="1" applyBorder="1" applyAlignment="1"/>
    <xf numFmtId="0" fontId="31" fillId="31" borderId="1" xfId="0" applyFont="1" applyFill="1" applyBorder="1" applyAlignment="1"/>
    <xf numFmtId="0" fontId="3" fillId="17" borderId="1" xfId="0" applyFont="1" applyFill="1" applyBorder="1" applyAlignment="1"/>
    <xf numFmtId="173" fontId="22" fillId="0" borderId="10" xfId="0" applyNumberFormat="1" applyFont="1" applyBorder="1" applyAlignment="1"/>
    <xf numFmtId="0" fontId="1" fillId="4" borderId="1" xfId="0" applyFont="1" applyFill="1" applyBorder="1" applyAlignment="1"/>
    <xf numFmtId="49" fontId="6" fillId="0" borderId="1" xfId="0" applyNumberFormat="1" applyFont="1" applyBorder="1" applyAlignment="1"/>
    <xf numFmtId="49" fontId="32" fillId="0" borderId="1" xfId="0" applyNumberFormat="1" applyFont="1" applyBorder="1" applyAlignment="1">
      <alignment horizontal="center"/>
    </xf>
    <xf numFmtId="0" fontId="33" fillId="0" borderId="1" xfId="0" applyFont="1" applyBorder="1" applyAlignment="1"/>
    <xf numFmtId="0" fontId="34" fillId="0" borderId="0" xfId="0" applyFont="1"/>
    <xf numFmtId="0" fontId="35" fillId="14" borderId="0" xfId="0" applyFont="1" applyFill="1"/>
    <xf numFmtId="49" fontId="6" fillId="0" borderId="1" xfId="0" applyNumberFormat="1" applyFont="1" applyBorder="1" applyAlignment="1"/>
    <xf numFmtId="0" fontId="1" fillId="31" borderId="1" xfId="0" applyFont="1" applyFill="1" applyBorder="1" applyAlignment="1"/>
    <xf numFmtId="171" fontId="6" fillId="0" borderId="1" xfId="0" applyNumberFormat="1" applyFont="1" applyBorder="1" applyAlignment="1"/>
    <xf numFmtId="171" fontId="36" fillId="0" borderId="1" xfId="0" applyNumberFormat="1" applyFont="1" applyBorder="1" applyAlignment="1">
      <alignment horizontal="center"/>
    </xf>
    <xf numFmtId="0" fontId="37" fillId="0" borderId="1" xfId="0" applyFont="1" applyBorder="1"/>
    <xf numFmtId="0" fontId="38" fillId="0" borderId="1" xfId="0" applyFont="1" applyBorder="1" applyAlignment="1">
      <alignment horizontal="center"/>
    </xf>
    <xf numFmtId="49" fontId="39" fillId="0" borderId="1" xfId="0" applyNumberFormat="1" applyFont="1" applyBorder="1" applyAlignment="1">
      <alignment horizontal="center"/>
    </xf>
    <xf numFmtId="0" fontId="3" fillId="0" borderId="1" xfId="0" applyFont="1" applyBorder="1" applyAlignment="1">
      <alignment horizontal="center"/>
    </xf>
    <xf numFmtId="168" fontId="3" fillId="5" borderId="1" xfId="0" applyNumberFormat="1" applyFont="1" applyFill="1" applyBorder="1" applyAlignment="1"/>
    <xf numFmtId="0" fontId="40" fillId="14" borderId="1" xfId="0" applyFont="1" applyFill="1" applyBorder="1" applyAlignment="1"/>
    <xf numFmtId="165" fontId="22" fillId="28" borderId="10" xfId="0" applyNumberFormat="1" applyFont="1" applyFill="1" applyBorder="1" applyAlignment="1">
      <alignment horizontal="right"/>
    </xf>
    <xf numFmtId="166" fontId="22" fillId="14" borderId="10" xfId="0" applyNumberFormat="1" applyFont="1" applyFill="1" applyBorder="1" applyAlignment="1">
      <alignment horizontal="center"/>
    </xf>
    <xf numFmtId="169" fontId="3" fillId="22" borderId="1" xfId="0" applyNumberFormat="1" applyFont="1" applyFill="1" applyBorder="1" applyAlignment="1"/>
    <xf numFmtId="165" fontId="22" fillId="38" borderId="10" xfId="0" applyNumberFormat="1" applyFont="1" applyFill="1" applyBorder="1" applyAlignment="1">
      <alignment horizontal="right"/>
    </xf>
    <xf numFmtId="165" fontId="22" fillId="16" borderId="10" xfId="0" applyNumberFormat="1" applyFont="1" applyFill="1" applyBorder="1" applyAlignment="1"/>
    <xf numFmtId="49" fontId="22" fillId="33" borderId="10" xfId="0" applyNumberFormat="1" applyFont="1" applyFill="1" applyBorder="1" applyAlignment="1"/>
    <xf numFmtId="168" fontId="22" fillId="0" borderId="10" xfId="0" applyNumberFormat="1" applyFont="1" applyBorder="1" applyAlignment="1">
      <alignment horizontal="right"/>
    </xf>
    <xf numFmtId="0" fontId="41" fillId="0" borderId="10" xfId="0" applyFont="1" applyBorder="1" applyAlignment="1"/>
    <xf numFmtId="169" fontId="22" fillId="0" borderId="10" xfId="0" applyNumberFormat="1" applyFont="1" applyBorder="1" applyAlignment="1">
      <alignment horizontal="right"/>
    </xf>
    <xf numFmtId="49" fontId="22" fillId="0" borderId="10" xfId="0" applyNumberFormat="1" applyFont="1" applyBorder="1" applyAlignment="1">
      <alignment horizontal="center"/>
    </xf>
    <xf numFmtId="170" fontId="22" fillId="0" borderId="10" xfId="0" applyNumberFormat="1" applyFont="1" applyBorder="1" applyAlignment="1">
      <alignment horizontal="right"/>
    </xf>
    <xf numFmtId="0" fontId="22" fillId="0" borderId="17" xfId="0" applyFont="1" applyBorder="1" applyAlignment="1"/>
    <xf numFmtId="0" fontId="30" fillId="14" borderId="5" xfId="0" applyFont="1" applyFill="1" applyBorder="1" applyAlignment="1"/>
    <xf numFmtId="164" fontId="22" fillId="7" borderId="9" xfId="0" applyNumberFormat="1" applyFont="1" applyFill="1" applyBorder="1" applyAlignment="1">
      <alignment horizontal="right"/>
    </xf>
    <xf numFmtId="165" fontId="22" fillId="39" borderId="9" xfId="0" applyNumberFormat="1" applyFont="1" applyFill="1" applyBorder="1" applyAlignment="1">
      <alignment horizontal="right"/>
    </xf>
    <xf numFmtId="166" fontId="22" fillId="14" borderId="9" xfId="0" applyNumberFormat="1" applyFont="1" applyFill="1" applyBorder="1" applyAlignment="1">
      <alignment horizontal="center"/>
    </xf>
    <xf numFmtId="167" fontId="22" fillId="40" borderId="9" xfId="0" applyNumberFormat="1" applyFont="1" applyFill="1" applyBorder="1" applyAlignment="1">
      <alignment horizontal="right"/>
    </xf>
    <xf numFmtId="165" fontId="22" fillId="41" borderId="9" xfId="0" applyNumberFormat="1" applyFont="1" applyFill="1" applyBorder="1" applyAlignment="1">
      <alignment horizontal="right"/>
    </xf>
    <xf numFmtId="49" fontId="22" fillId="0" borderId="9" xfId="0" applyNumberFormat="1" applyFont="1" applyBorder="1" applyAlignment="1"/>
    <xf numFmtId="0" fontId="22" fillId="0" borderId="9" xfId="0" applyFont="1" applyBorder="1" applyAlignment="1">
      <alignment horizontal="right"/>
    </xf>
    <xf numFmtId="168" fontId="22" fillId="0" borderId="9" xfId="0" applyNumberFormat="1" applyFont="1" applyBorder="1" applyAlignment="1">
      <alignment horizontal="right"/>
    </xf>
    <xf numFmtId="0" fontId="42" fillId="0" borderId="9" xfId="0" applyFont="1" applyBorder="1" applyAlignment="1"/>
    <xf numFmtId="169" fontId="22" fillId="0" borderId="9" xfId="0" applyNumberFormat="1" applyFont="1" applyBorder="1" applyAlignment="1">
      <alignment horizontal="right"/>
    </xf>
    <xf numFmtId="49" fontId="22" fillId="0" borderId="9" xfId="0" applyNumberFormat="1" applyFont="1" applyBorder="1" applyAlignment="1">
      <alignment horizontal="center"/>
    </xf>
    <xf numFmtId="0" fontId="22" fillId="0" borderId="9" xfId="0" applyFont="1" applyBorder="1" applyAlignment="1"/>
    <xf numFmtId="170" fontId="22" fillId="0" borderId="9" xfId="0" applyNumberFormat="1" applyFont="1" applyBorder="1" applyAlignment="1">
      <alignment horizontal="right"/>
    </xf>
    <xf numFmtId="0" fontId="22" fillId="0" borderId="0" xfId="0" applyFont="1" applyAlignment="1"/>
    <xf numFmtId="0" fontId="43" fillId="14" borderId="5" xfId="0" applyFont="1" applyFill="1" applyBorder="1" applyAlignment="1"/>
    <xf numFmtId="164" fontId="22" fillId="12" borderId="9" xfId="0" applyNumberFormat="1" applyFont="1" applyFill="1" applyBorder="1" applyAlignment="1">
      <alignment horizontal="right"/>
    </xf>
    <xf numFmtId="167" fontId="22" fillId="38" borderId="9" xfId="0" applyNumberFormat="1" applyFont="1" applyFill="1" applyBorder="1" applyAlignment="1">
      <alignment horizontal="right"/>
    </xf>
    <xf numFmtId="165" fontId="22" fillId="42" borderId="9" xfId="0" applyNumberFormat="1" applyFont="1" applyFill="1" applyBorder="1" applyAlignment="1">
      <alignment horizontal="right"/>
    </xf>
    <xf numFmtId="49" fontId="22" fillId="33" borderId="9" xfId="0" applyNumberFormat="1" applyFont="1" applyFill="1" applyBorder="1" applyAlignment="1"/>
    <xf numFmtId="169" fontId="3" fillId="26" borderId="1" xfId="0" applyNumberFormat="1" applyFont="1" applyFill="1" applyBorder="1" applyAlignment="1"/>
    <xf numFmtId="171" fontId="6" fillId="0" borderId="1" xfId="0" applyNumberFormat="1" applyFont="1" applyBorder="1" applyAlignment="1"/>
    <xf numFmtId="0" fontId="22" fillId="0" borderId="0" xfId="0" applyFont="1" applyAlignment="1"/>
    <xf numFmtId="165" fontId="3" fillId="43" borderId="1" xfId="0" applyNumberFormat="1" applyFont="1" applyFill="1" applyBorder="1" applyAlignment="1"/>
    <xf numFmtId="0" fontId="44" fillId="0" borderId="1" xfId="0" applyFont="1" applyBorder="1" applyAlignment="1"/>
    <xf numFmtId="164" fontId="22" fillId="11" borderId="9" xfId="0" applyNumberFormat="1" applyFont="1" applyFill="1" applyBorder="1" applyAlignment="1">
      <alignment horizontal="right"/>
    </xf>
    <xf numFmtId="165" fontId="22" fillId="44" borderId="9" xfId="0" applyNumberFormat="1" applyFont="1" applyFill="1" applyBorder="1" applyAlignment="1">
      <alignment horizontal="right"/>
    </xf>
    <xf numFmtId="166" fontId="45" fillId="45" borderId="9" xfId="0" applyNumberFormat="1" applyFont="1" applyFill="1" applyBorder="1" applyAlignment="1">
      <alignment horizontal="center"/>
    </xf>
    <xf numFmtId="167" fontId="22" fillId="46" borderId="9" xfId="0" applyNumberFormat="1" applyFont="1" applyFill="1" applyBorder="1" applyAlignment="1">
      <alignment horizontal="right"/>
    </xf>
    <xf numFmtId="165" fontId="22" fillId="47" borderId="9" xfId="0" applyNumberFormat="1" applyFont="1" applyFill="1" applyBorder="1" applyAlignment="1">
      <alignment horizontal="right"/>
    </xf>
    <xf numFmtId="171" fontId="22" fillId="0" borderId="9" xfId="0" applyNumberFormat="1" applyFont="1" applyBorder="1" applyAlignment="1">
      <alignment horizontal="center"/>
    </xf>
    <xf numFmtId="0" fontId="30" fillId="33" borderId="5" xfId="0" applyFont="1" applyFill="1" applyBorder="1" applyAlignment="1"/>
    <xf numFmtId="164" fontId="22" fillId="32" borderId="9" xfId="0" applyNumberFormat="1" applyFont="1" applyFill="1" applyBorder="1" applyAlignment="1">
      <alignment horizontal="right"/>
    </xf>
    <xf numFmtId="166" fontId="22" fillId="34" borderId="9" xfId="0" applyNumberFormat="1" applyFont="1" applyFill="1" applyBorder="1" applyAlignment="1">
      <alignment horizontal="center"/>
    </xf>
    <xf numFmtId="167" fontId="22" fillId="48" borderId="9" xfId="0" applyNumberFormat="1" applyFont="1" applyFill="1" applyBorder="1" applyAlignment="1">
      <alignment horizontal="right"/>
    </xf>
    <xf numFmtId="165" fontId="22" fillId="49" borderId="9" xfId="0" applyNumberFormat="1" applyFont="1" applyFill="1" applyBorder="1" applyAlignment="1">
      <alignment horizontal="right"/>
    </xf>
    <xf numFmtId="167" fontId="22" fillId="50" borderId="9" xfId="0" applyNumberFormat="1" applyFont="1" applyFill="1" applyBorder="1" applyAlignment="1">
      <alignment horizontal="right"/>
    </xf>
    <xf numFmtId="165" fontId="22" fillId="51" borderId="9" xfId="0" applyNumberFormat="1" applyFont="1" applyFill="1" applyBorder="1" applyAlignment="1">
      <alignment horizontal="right"/>
    </xf>
    <xf numFmtId="165" fontId="22" fillId="52" borderId="9" xfId="0" applyNumberFormat="1" applyFont="1" applyFill="1" applyBorder="1" applyAlignment="1">
      <alignment horizontal="right"/>
    </xf>
    <xf numFmtId="165" fontId="22" fillId="53" borderId="9" xfId="0" applyNumberFormat="1" applyFont="1" applyFill="1" applyBorder="1" applyAlignment="1">
      <alignment horizontal="right"/>
    </xf>
    <xf numFmtId="165" fontId="22" fillId="54" borderId="9" xfId="0" applyNumberFormat="1" applyFont="1" applyFill="1" applyBorder="1" applyAlignment="1">
      <alignment horizontal="right"/>
    </xf>
    <xf numFmtId="167" fontId="22" fillId="55" borderId="9" xfId="0" applyNumberFormat="1" applyFont="1" applyFill="1" applyBorder="1" applyAlignment="1">
      <alignment horizontal="right"/>
    </xf>
    <xf numFmtId="0" fontId="22" fillId="5" borderId="9" xfId="0" applyFont="1" applyFill="1" applyBorder="1" applyAlignment="1"/>
    <xf numFmtId="0" fontId="1" fillId="7" borderId="12" xfId="0" applyFont="1" applyFill="1" applyBorder="1" applyAlignment="1"/>
    <xf numFmtId="165" fontId="3" fillId="0" borderId="12" xfId="0" applyNumberFormat="1" applyFont="1" applyBorder="1" applyAlignment="1"/>
    <xf numFmtId="167" fontId="22" fillId="56" borderId="9" xfId="0" applyNumberFormat="1" applyFont="1" applyFill="1" applyBorder="1" applyAlignment="1">
      <alignment horizontal="right"/>
    </xf>
    <xf numFmtId="165" fontId="22" fillId="57" borderId="9" xfId="0" applyNumberFormat="1" applyFont="1" applyFill="1" applyBorder="1" applyAlignment="1">
      <alignment horizontal="right"/>
    </xf>
    <xf numFmtId="0" fontId="46" fillId="0" borderId="9" xfId="0" applyFont="1" applyBorder="1" applyAlignment="1"/>
    <xf numFmtId="0" fontId="47" fillId="25" borderId="5" xfId="0" applyFont="1" applyFill="1" applyBorder="1" applyAlignment="1"/>
    <xf numFmtId="165" fontId="22" fillId="58" borderId="9" xfId="0" applyNumberFormat="1" applyFont="1" applyFill="1" applyBorder="1" applyAlignment="1">
      <alignment horizontal="right"/>
    </xf>
    <xf numFmtId="167" fontId="22" fillId="59" borderId="9" xfId="0" applyNumberFormat="1" applyFont="1" applyFill="1" applyBorder="1" applyAlignment="1">
      <alignment horizontal="right"/>
    </xf>
    <xf numFmtId="165" fontId="22" fillId="60" borderId="9" xfId="0" applyNumberFormat="1" applyFont="1" applyFill="1" applyBorder="1" applyAlignment="1">
      <alignment horizontal="right"/>
    </xf>
    <xf numFmtId="168" fontId="22" fillId="22" borderId="9" xfId="0" applyNumberFormat="1" applyFont="1" applyFill="1" applyBorder="1" applyAlignment="1">
      <alignment horizontal="right"/>
    </xf>
    <xf numFmtId="165" fontId="22" fillId="61" borderId="9" xfId="0" applyNumberFormat="1" applyFont="1" applyFill="1" applyBorder="1" applyAlignment="1">
      <alignment horizontal="right"/>
    </xf>
    <xf numFmtId="167" fontId="22" fillId="19" borderId="9" xfId="0" applyNumberFormat="1" applyFont="1" applyFill="1" applyBorder="1" applyAlignment="1">
      <alignment horizontal="right"/>
    </xf>
    <xf numFmtId="165" fontId="22" fillId="62" borderId="9" xfId="0" applyNumberFormat="1" applyFont="1" applyFill="1" applyBorder="1" applyAlignment="1">
      <alignment horizontal="right"/>
    </xf>
    <xf numFmtId="170" fontId="3" fillId="0" borderId="1" xfId="0" applyNumberFormat="1" applyFont="1" applyBorder="1"/>
    <xf numFmtId="168" fontId="3" fillId="0" borderId="1" xfId="0" applyNumberFormat="1" applyFont="1" applyBorder="1"/>
    <xf numFmtId="164" fontId="22" fillId="22" borderId="9" xfId="0" applyNumberFormat="1" applyFont="1" applyFill="1" applyBorder="1" applyAlignment="1">
      <alignment horizontal="right"/>
    </xf>
    <xf numFmtId="167" fontId="22" fillId="15" borderId="9" xfId="0" applyNumberFormat="1" applyFont="1" applyFill="1" applyBorder="1" applyAlignment="1">
      <alignment horizontal="right"/>
    </xf>
    <xf numFmtId="165" fontId="22" fillId="63" borderId="9" xfId="0" applyNumberFormat="1" applyFont="1" applyFill="1" applyBorder="1" applyAlignment="1">
      <alignment horizontal="right"/>
    </xf>
    <xf numFmtId="0" fontId="22" fillId="0" borderId="9" xfId="0" applyFont="1" applyBorder="1" applyAlignment="1"/>
    <xf numFmtId="165" fontId="22" fillId="64" borderId="9" xfId="0" applyNumberFormat="1" applyFont="1" applyFill="1" applyBorder="1" applyAlignment="1">
      <alignment horizontal="right"/>
    </xf>
    <xf numFmtId="166" fontId="48" fillId="65" borderId="9" xfId="0" applyNumberFormat="1" applyFont="1" applyFill="1" applyBorder="1" applyAlignment="1">
      <alignment horizontal="center"/>
    </xf>
    <xf numFmtId="167" fontId="22" fillId="66" borderId="9" xfId="0" applyNumberFormat="1" applyFont="1" applyFill="1" applyBorder="1" applyAlignment="1">
      <alignment horizontal="right"/>
    </xf>
    <xf numFmtId="165" fontId="22" fillId="67" borderId="9" xfId="0" applyNumberFormat="1" applyFont="1" applyFill="1" applyBorder="1" applyAlignment="1">
      <alignment horizontal="right"/>
    </xf>
    <xf numFmtId="0" fontId="30" fillId="25" borderId="5" xfId="0" applyFont="1" applyFill="1" applyBorder="1" applyAlignment="1"/>
    <xf numFmtId="167" fontId="22" fillId="68" borderId="9" xfId="0" applyNumberFormat="1" applyFont="1" applyFill="1" applyBorder="1" applyAlignment="1">
      <alignment horizontal="right"/>
    </xf>
    <xf numFmtId="165" fontId="22" fillId="69" borderId="9" xfId="0" applyNumberFormat="1" applyFont="1" applyFill="1" applyBorder="1" applyAlignment="1">
      <alignment horizontal="right"/>
    </xf>
    <xf numFmtId="0" fontId="22" fillId="33" borderId="9" xfId="0" applyFont="1" applyFill="1" applyBorder="1" applyAlignment="1"/>
    <xf numFmtId="166" fontId="22" fillId="70" borderId="9" xfId="0" applyNumberFormat="1" applyFont="1" applyFill="1" applyBorder="1" applyAlignment="1">
      <alignment horizontal="center"/>
    </xf>
    <xf numFmtId="165" fontId="22" fillId="71" borderId="9" xfId="0" applyNumberFormat="1" applyFont="1" applyFill="1" applyBorder="1" applyAlignment="1">
      <alignment horizontal="right"/>
    </xf>
    <xf numFmtId="165" fontId="22" fillId="72" borderId="9" xfId="0" applyNumberFormat="1" applyFont="1" applyFill="1" applyBorder="1" applyAlignment="1">
      <alignment horizontal="right"/>
    </xf>
    <xf numFmtId="168" fontId="22" fillId="26" borderId="9" xfId="0" applyNumberFormat="1" applyFont="1" applyFill="1" applyBorder="1" applyAlignment="1">
      <alignment horizontal="right"/>
    </xf>
    <xf numFmtId="165" fontId="22" fillId="59" borderId="9" xfId="0" applyNumberFormat="1" applyFont="1" applyFill="1" applyBorder="1" applyAlignment="1">
      <alignment horizontal="right"/>
    </xf>
    <xf numFmtId="165" fontId="22" fillId="73" borderId="9" xfId="0" applyNumberFormat="1" applyFont="1" applyFill="1" applyBorder="1" applyAlignment="1">
      <alignment horizontal="right"/>
    </xf>
    <xf numFmtId="165" fontId="22" fillId="74" borderId="9" xfId="0" applyNumberFormat="1" applyFont="1" applyFill="1" applyBorder="1" applyAlignment="1">
      <alignment horizontal="right"/>
    </xf>
    <xf numFmtId="165" fontId="22" fillId="15" borderId="9" xfId="0" applyNumberFormat="1" applyFont="1" applyFill="1" applyBorder="1" applyAlignment="1">
      <alignment horizontal="right"/>
    </xf>
    <xf numFmtId="165" fontId="22" fillId="75" borderId="9" xfId="0" applyNumberFormat="1" applyFont="1" applyFill="1" applyBorder="1" applyAlignment="1">
      <alignment horizontal="right"/>
    </xf>
    <xf numFmtId="166" fontId="22" fillId="76" borderId="9" xfId="0" applyNumberFormat="1" applyFont="1" applyFill="1" applyBorder="1" applyAlignment="1">
      <alignment horizontal="center"/>
    </xf>
    <xf numFmtId="165" fontId="22" fillId="77" borderId="9" xfId="0" applyNumberFormat="1" applyFont="1" applyFill="1" applyBorder="1" applyAlignment="1">
      <alignment horizontal="right"/>
    </xf>
    <xf numFmtId="165" fontId="22" fillId="78" borderId="9" xfId="0" applyNumberFormat="1" applyFont="1" applyFill="1" applyBorder="1" applyAlignment="1">
      <alignment horizontal="right"/>
    </xf>
    <xf numFmtId="165" fontId="22" fillId="79" borderId="9" xfId="0" applyNumberFormat="1" applyFont="1" applyFill="1" applyBorder="1" applyAlignment="1">
      <alignment horizontal="right"/>
    </xf>
    <xf numFmtId="165" fontId="22" fillId="80" borderId="9" xfId="0" applyNumberFormat="1" applyFont="1" applyFill="1" applyBorder="1" applyAlignment="1">
      <alignment horizontal="right"/>
    </xf>
    <xf numFmtId="165" fontId="22" fillId="48" borderId="9" xfId="0" applyNumberFormat="1" applyFont="1" applyFill="1" applyBorder="1" applyAlignment="1">
      <alignment horizontal="right"/>
    </xf>
    <xf numFmtId="165" fontId="22" fillId="81" borderId="9" xfId="0" applyNumberFormat="1" applyFont="1" applyFill="1" applyBorder="1" applyAlignment="1">
      <alignment horizontal="right"/>
    </xf>
    <xf numFmtId="165" fontId="22" fillId="82" borderId="9" xfId="0" applyNumberFormat="1" applyFont="1" applyFill="1" applyBorder="1" applyAlignment="1">
      <alignment horizontal="right"/>
    </xf>
    <xf numFmtId="0" fontId="49" fillId="0" borderId="5" xfId="0" applyFont="1" applyBorder="1" applyAlignment="1"/>
    <xf numFmtId="165" fontId="22" fillId="83" borderId="9" xfId="0" applyNumberFormat="1" applyFont="1" applyFill="1" applyBorder="1" applyAlignment="1">
      <alignment horizontal="right"/>
    </xf>
    <xf numFmtId="165" fontId="22" fillId="84" borderId="9" xfId="0" applyNumberFormat="1" applyFont="1" applyFill="1" applyBorder="1" applyAlignment="1">
      <alignment horizontal="right"/>
    </xf>
    <xf numFmtId="0" fontId="22" fillId="28" borderId="9" xfId="0" applyFont="1" applyFill="1" applyBorder="1" applyAlignment="1">
      <alignment horizontal="right"/>
    </xf>
    <xf numFmtId="166" fontId="22" fillId="0" borderId="9" xfId="0" applyNumberFormat="1" applyFont="1" applyBorder="1" applyAlignment="1">
      <alignment horizontal="center"/>
    </xf>
    <xf numFmtId="165" fontId="22" fillId="85" borderId="9" xfId="0" applyNumberFormat="1" applyFont="1" applyFill="1" applyBorder="1" applyAlignment="1">
      <alignment horizontal="right"/>
    </xf>
    <xf numFmtId="165" fontId="22" fillId="86" borderId="9" xfId="0" applyNumberFormat="1" applyFont="1" applyFill="1" applyBorder="1" applyAlignment="1">
      <alignment horizontal="right"/>
    </xf>
    <xf numFmtId="165" fontId="22" fillId="87" borderId="9" xfId="0" applyNumberFormat="1" applyFont="1" applyFill="1" applyBorder="1" applyAlignment="1">
      <alignment horizontal="right"/>
    </xf>
    <xf numFmtId="165" fontId="22" fillId="88" borderId="9" xfId="0" applyNumberFormat="1" applyFont="1" applyFill="1" applyBorder="1" applyAlignment="1">
      <alignment horizontal="right"/>
    </xf>
    <xf numFmtId="165" fontId="22" fillId="59" borderId="9" xfId="0" applyNumberFormat="1" applyFont="1" applyFill="1" applyBorder="1" applyAlignment="1">
      <alignment horizontal="right"/>
    </xf>
    <xf numFmtId="165" fontId="22" fillId="89" borderId="9" xfId="0" applyNumberFormat="1" applyFont="1" applyFill="1" applyBorder="1" applyAlignment="1">
      <alignment horizontal="right"/>
    </xf>
    <xf numFmtId="169" fontId="3" fillId="31" borderId="1" xfId="0" applyNumberFormat="1" applyFont="1" applyFill="1" applyBorder="1" applyAlignment="1"/>
    <xf numFmtId="165" fontId="22" fillId="90" borderId="9" xfId="0" applyNumberFormat="1" applyFont="1" applyFill="1" applyBorder="1" applyAlignment="1">
      <alignment horizontal="right"/>
    </xf>
    <xf numFmtId="165" fontId="22" fillId="91" borderId="9" xfId="0" applyNumberFormat="1" applyFont="1" applyFill="1" applyBorder="1" applyAlignment="1">
      <alignment horizontal="right"/>
    </xf>
    <xf numFmtId="165" fontId="22" fillId="92" borderId="9" xfId="0" applyNumberFormat="1" applyFont="1" applyFill="1" applyBorder="1" applyAlignment="1">
      <alignment horizontal="right"/>
    </xf>
    <xf numFmtId="166" fontId="22" fillId="93" borderId="9" xfId="0" applyNumberFormat="1" applyFont="1" applyFill="1" applyBorder="1" applyAlignment="1">
      <alignment horizontal="center"/>
    </xf>
    <xf numFmtId="165" fontId="22" fillId="94" borderId="9" xfId="0" applyNumberFormat="1" applyFont="1" applyFill="1" applyBorder="1" applyAlignment="1">
      <alignment horizontal="right"/>
    </xf>
    <xf numFmtId="0" fontId="22" fillId="0" borderId="9" xfId="0" applyFont="1" applyBorder="1" applyAlignment="1">
      <alignment horizontal="right"/>
    </xf>
    <xf numFmtId="167" fontId="3" fillId="0" borderId="1" xfId="0" applyNumberFormat="1" applyFont="1" applyBorder="1"/>
    <xf numFmtId="165" fontId="22" fillId="95" borderId="9" xfId="0" applyNumberFormat="1" applyFont="1" applyFill="1" applyBorder="1" applyAlignment="1">
      <alignment horizontal="right"/>
    </xf>
    <xf numFmtId="165" fontId="22" fillId="96" borderId="9" xfId="0" applyNumberFormat="1" applyFont="1" applyFill="1" applyBorder="1" applyAlignment="1">
      <alignment horizontal="right"/>
    </xf>
    <xf numFmtId="165" fontId="22" fillId="97" borderId="9" xfId="0" applyNumberFormat="1" applyFont="1" applyFill="1" applyBorder="1" applyAlignment="1">
      <alignment horizontal="right"/>
    </xf>
    <xf numFmtId="165" fontId="22" fillId="98" borderId="9" xfId="0" applyNumberFormat="1" applyFont="1" applyFill="1" applyBorder="1" applyAlignment="1">
      <alignment horizontal="right"/>
    </xf>
    <xf numFmtId="0" fontId="22" fillId="28" borderId="9" xfId="0" applyFont="1" applyFill="1" applyBorder="1" applyAlignment="1">
      <alignment horizontal="right"/>
    </xf>
    <xf numFmtId="0" fontId="50" fillId="31" borderId="1" xfId="0" applyFont="1" applyFill="1" applyBorder="1" applyAlignment="1"/>
    <xf numFmtId="165" fontId="22" fillId="99" borderId="9" xfId="0" applyNumberFormat="1" applyFont="1" applyFill="1" applyBorder="1" applyAlignment="1">
      <alignment horizontal="right"/>
    </xf>
    <xf numFmtId="0" fontId="22" fillId="5" borderId="9" xfId="0" applyFont="1" applyFill="1" applyBorder="1" applyAlignment="1"/>
    <xf numFmtId="0" fontId="30" fillId="14" borderId="5" xfId="0" applyFont="1" applyFill="1" applyBorder="1" applyAlignment="1"/>
    <xf numFmtId="165" fontId="22" fillId="19" borderId="9" xfId="0" applyNumberFormat="1" applyFont="1" applyFill="1" applyBorder="1" applyAlignment="1">
      <alignment horizontal="right"/>
    </xf>
    <xf numFmtId="165" fontId="22" fillId="100" borderId="9" xfId="0" applyNumberFormat="1" applyFont="1" applyFill="1" applyBorder="1" applyAlignment="1">
      <alignment horizontal="right"/>
    </xf>
    <xf numFmtId="0" fontId="22" fillId="11" borderId="9" xfId="0" applyFont="1" applyFill="1" applyBorder="1" applyAlignment="1">
      <alignment horizontal="right"/>
    </xf>
    <xf numFmtId="0" fontId="51" fillId="7" borderId="1" xfId="0" applyFont="1" applyFill="1" applyBorder="1" applyAlignment="1"/>
    <xf numFmtId="165" fontId="22" fillId="101" borderId="9" xfId="0" applyNumberFormat="1" applyFont="1" applyFill="1" applyBorder="1" applyAlignment="1">
      <alignment horizontal="right"/>
    </xf>
    <xf numFmtId="166" fontId="52" fillId="102" borderId="9" xfId="0" applyNumberFormat="1" applyFont="1" applyFill="1" applyBorder="1" applyAlignment="1">
      <alignment horizontal="center"/>
    </xf>
    <xf numFmtId="0" fontId="22" fillId="30" borderId="9" xfId="0" applyFont="1" applyFill="1" applyBorder="1" applyAlignment="1">
      <alignment horizontal="right"/>
    </xf>
    <xf numFmtId="165" fontId="22" fillId="103" borderId="9" xfId="0" applyNumberFormat="1" applyFont="1" applyFill="1" applyBorder="1" applyAlignment="1">
      <alignment horizontal="right"/>
    </xf>
    <xf numFmtId="165" fontId="22" fillId="104" borderId="9" xfId="0" applyNumberFormat="1" applyFont="1" applyFill="1" applyBorder="1" applyAlignment="1">
      <alignment horizontal="right"/>
    </xf>
    <xf numFmtId="165" fontId="22" fillId="105" borderId="9" xfId="0" applyNumberFormat="1" applyFont="1" applyFill="1" applyBorder="1" applyAlignment="1">
      <alignment horizontal="right"/>
    </xf>
    <xf numFmtId="165" fontId="22" fillId="106" borderId="9" xfId="0" applyNumberFormat="1" applyFont="1" applyFill="1" applyBorder="1" applyAlignment="1">
      <alignment horizontal="right"/>
    </xf>
    <xf numFmtId="165" fontId="22" fillId="38" borderId="9" xfId="0" applyNumberFormat="1" applyFont="1" applyFill="1" applyBorder="1" applyAlignment="1">
      <alignment horizontal="right"/>
    </xf>
    <xf numFmtId="0" fontId="22" fillId="33" borderId="9" xfId="0" applyFont="1" applyFill="1" applyBorder="1" applyAlignment="1"/>
    <xf numFmtId="165" fontId="22" fillId="68" borderId="9" xfId="0" applyNumberFormat="1" applyFont="1" applyFill="1" applyBorder="1" applyAlignment="1">
      <alignment horizontal="right"/>
    </xf>
    <xf numFmtId="165" fontId="22" fillId="107" borderId="9" xfId="0" applyNumberFormat="1" applyFont="1" applyFill="1" applyBorder="1" applyAlignment="1">
      <alignment horizontal="right"/>
    </xf>
    <xf numFmtId="0" fontId="53" fillId="0" borderId="1" xfId="0" applyFont="1" applyBorder="1" applyAlignment="1">
      <alignment horizontal="center"/>
    </xf>
    <xf numFmtId="165" fontId="22" fillId="108" borderId="9" xfId="0" applyNumberFormat="1" applyFont="1" applyFill="1" applyBorder="1" applyAlignment="1">
      <alignment horizontal="right"/>
    </xf>
    <xf numFmtId="165" fontId="22" fillId="109" borderId="9" xfId="0" applyNumberFormat="1" applyFont="1" applyFill="1" applyBorder="1" applyAlignment="1">
      <alignment horizontal="right"/>
    </xf>
    <xf numFmtId="165" fontId="22" fillId="110" borderId="9" xfId="0" applyNumberFormat="1" applyFont="1" applyFill="1" applyBorder="1" applyAlignment="1">
      <alignment horizontal="right"/>
    </xf>
    <xf numFmtId="165" fontId="22" fillId="43" borderId="9" xfId="0" applyNumberFormat="1" applyFont="1" applyFill="1" applyBorder="1" applyAlignment="1">
      <alignment horizontal="right"/>
    </xf>
    <xf numFmtId="168" fontId="22" fillId="31" borderId="9" xfId="0" applyNumberFormat="1" applyFont="1" applyFill="1" applyBorder="1" applyAlignment="1">
      <alignment horizontal="right"/>
    </xf>
    <xf numFmtId="165" fontId="22" fillId="111" borderId="9" xfId="0" applyNumberFormat="1" applyFont="1" applyFill="1" applyBorder="1" applyAlignment="1">
      <alignment horizontal="right"/>
    </xf>
    <xf numFmtId="165" fontId="22" fillId="112" borderId="9" xfId="0" applyNumberFormat="1" applyFont="1" applyFill="1" applyBorder="1" applyAlignment="1">
      <alignment horizontal="right"/>
    </xf>
    <xf numFmtId="0" fontId="54" fillId="14" borderId="5" xfId="0" applyFont="1" applyFill="1" applyBorder="1" applyAlignment="1"/>
    <xf numFmtId="0" fontId="22" fillId="32" borderId="9" xfId="0" applyFont="1" applyFill="1" applyBorder="1" applyAlignment="1">
      <alignment horizontal="right"/>
    </xf>
    <xf numFmtId="165" fontId="22" fillId="66" borderId="9" xfId="0" applyNumberFormat="1" applyFont="1" applyFill="1" applyBorder="1" applyAlignment="1">
      <alignment horizontal="right"/>
    </xf>
    <xf numFmtId="165" fontId="22" fillId="113" borderId="9" xfId="0" applyNumberFormat="1" applyFont="1" applyFill="1" applyBorder="1" applyAlignment="1">
      <alignment horizontal="right"/>
    </xf>
    <xf numFmtId="0" fontId="30" fillId="25" borderId="5" xfId="0" applyFont="1" applyFill="1" applyBorder="1" applyAlignment="1"/>
    <xf numFmtId="165" fontId="22" fillId="114" borderId="9" xfId="0" applyNumberFormat="1" applyFont="1" applyFill="1" applyBorder="1" applyAlignment="1">
      <alignment horizontal="right"/>
    </xf>
    <xf numFmtId="165" fontId="22" fillId="115" borderId="9" xfId="0" applyNumberFormat="1" applyFont="1" applyFill="1" applyBorder="1" applyAlignment="1">
      <alignment horizontal="right"/>
    </xf>
    <xf numFmtId="165" fontId="22" fillId="116" borderId="9" xfId="0" applyNumberFormat="1" applyFont="1" applyFill="1" applyBorder="1" applyAlignment="1">
      <alignment horizontal="right"/>
    </xf>
    <xf numFmtId="0" fontId="55" fillId="25" borderId="5" xfId="0" applyFont="1" applyFill="1" applyBorder="1" applyAlignment="1"/>
    <xf numFmtId="165" fontId="22" fillId="117" borderId="9" xfId="0" applyNumberFormat="1" applyFont="1" applyFill="1" applyBorder="1" applyAlignment="1">
      <alignment horizontal="right"/>
    </xf>
    <xf numFmtId="165" fontId="22" fillId="118" borderId="9" xfId="0" applyNumberFormat="1" applyFont="1" applyFill="1" applyBorder="1" applyAlignment="1">
      <alignment horizontal="right"/>
    </xf>
    <xf numFmtId="165" fontId="22" fillId="119" borderId="9" xfId="0" applyNumberFormat="1" applyFont="1" applyFill="1" applyBorder="1" applyAlignment="1">
      <alignment horizontal="right"/>
    </xf>
    <xf numFmtId="165" fontId="22" fillId="120" borderId="9" xfId="0" applyNumberFormat="1" applyFont="1" applyFill="1" applyBorder="1" applyAlignment="1">
      <alignment horizontal="right"/>
    </xf>
    <xf numFmtId="165" fontId="22" fillId="121" borderId="9" xfId="0" applyNumberFormat="1" applyFont="1" applyFill="1" applyBorder="1" applyAlignment="1">
      <alignment horizontal="right"/>
    </xf>
    <xf numFmtId="165" fontId="22" fillId="122" borderId="9" xfId="0" applyNumberFormat="1" applyFont="1" applyFill="1" applyBorder="1" applyAlignment="1">
      <alignment horizontal="right"/>
    </xf>
    <xf numFmtId="165" fontId="22" fillId="123" borderId="9" xfId="0" applyNumberFormat="1" applyFont="1" applyFill="1" applyBorder="1" applyAlignment="1">
      <alignment horizontal="right"/>
    </xf>
    <xf numFmtId="165" fontId="22" fillId="124" borderId="9" xfId="0" applyNumberFormat="1" applyFont="1" applyFill="1" applyBorder="1" applyAlignment="1">
      <alignment horizontal="right"/>
    </xf>
    <xf numFmtId="0" fontId="22" fillId="4" borderId="9" xfId="0" applyFont="1" applyFill="1" applyBorder="1" applyAlignment="1">
      <alignment horizontal="right"/>
    </xf>
    <xf numFmtId="165" fontId="22" fillId="125" borderId="9" xfId="0" applyNumberFormat="1" applyFont="1" applyFill="1" applyBorder="1" applyAlignment="1">
      <alignment horizontal="right"/>
    </xf>
    <xf numFmtId="165" fontId="22" fillId="126" borderId="9" xfId="0" applyNumberFormat="1" applyFont="1" applyFill="1" applyBorder="1" applyAlignment="1">
      <alignment horizontal="right"/>
    </xf>
    <xf numFmtId="165" fontId="22" fillId="55" borderId="9" xfId="0" applyNumberFormat="1" applyFont="1" applyFill="1" applyBorder="1" applyAlignment="1">
      <alignment horizontal="right"/>
    </xf>
    <xf numFmtId="165" fontId="22" fillId="127" borderId="9" xfId="0" applyNumberFormat="1" applyFont="1" applyFill="1" applyBorder="1" applyAlignment="1">
      <alignment horizontal="right"/>
    </xf>
    <xf numFmtId="0" fontId="22" fillId="23" borderId="9" xfId="0" applyFont="1" applyFill="1" applyBorder="1" applyAlignment="1">
      <alignment horizontal="right"/>
    </xf>
    <xf numFmtId="170" fontId="22" fillId="0" borderId="18" xfId="0" applyNumberFormat="1" applyFont="1" applyBorder="1" applyAlignment="1">
      <alignment horizontal="right"/>
    </xf>
    <xf numFmtId="165" fontId="22" fillId="128" borderId="9" xfId="0" applyNumberFormat="1" applyFont="1" applyFill="1" applyBorder="1" applyAlignment="1">
      <alignment horizontal="right"/>
    </xf>
    <xf numFmtId="165" fontId="22" fillId="129" borderId="9" xfId="0" applyNumberFormat="1" applyFont="1" applyFill="1" applyBorder="1" applyAlignment="1">
      <alignment horizontal="right"/>
    </xf>
    <xf numFmtId="165" fontId="22" fillId="130" borderId="9" xfId="0" applyNumberFormat="1" applyFont="1" applyFill="1" applyBorder="1" applyAlignment="1">
      <alignment horizontal="right"/>
    </xf>
    <xf numFmtId="0" fontId="22" fillId="0" borderId="9" xfId="0" applyFont="1" applyBorder="1" applyAlignment="1">
      <alignment horizontal="center"/>
    </xf>
    <xf numFmtId="165" fontId="22" fillId="131" borderId="9" xfId="0" applyNumberFormat="1" applyFont="1" applyFill="1" applyBorder="1" applyAlignment="1">
      <alignment horizontal="right"/>
    </xf>
    <xf numFmtId="165" fontId="22" fillId="132" borderId="9" xfId="0" applyNumberFormat="1" applyFont="1" applyFill="1" applyBorder="1" applyAlignment="1">
      <alignment horizontal="right"/>
    </xf>
    <xf numFmtId="0" fontId="1" fillId="0" borderId="1" xfId="0" applyFont="1" applyBorder="1" applyAlignment="1"/>
    <xf numFmtId="165" fontId="22" fillId="46" borderId="9" xfId="0" applyNumberFormat="1" applyFont="1" applyFill="1" applyBorder="1" applyAlignment="1">
      <alignment horizontal="right"/>
    </xf>
    <xf numFmtId="0" fontId="22" fillId="8" borderId="9" xfId="0" applyFont="1" applyFill="1" applyBorder="1" applyAlignment="1">
      <alignment horizontal="right"/>
    </xf>
    <xf numFmtId="165" fontId="22" fillId="133" borderId="9" xfId="0" applyNumberFormat="1" applyFont="1" applyFill="1" applyBorder="1" applyAlignment="1">
      <alignment horizontal="right"/>
    </xf>
    <xf numFmtId="174" fontId="22" fillId="0" borderId="9" xfId="0" applyNumberFormat="1" applyFont="1" applyBorder="1" applyAlignment="1">
      <alignment horizontal="right"/>
    </xf>
    <xf numFmtId="165" fontId="22" fillId="134" borderId="9" xfId="0" applyNumberFormat="1" applyFont="1" applyFill="1" applyBorder="1" applyAlignment="1">
      <alignment horizontal="right"/>
    </xf>
    <xf numFmtId="165" fontId="22" fillId="135" borderId="9" xfId="0" applyNumberFormat="1" applyFont="1" applyFill="1" applyBorder="1" applyAlignment="1">
      <alignment horizontal="right"/>
    </xf>
    <xf numFmtId="165" fontId="22" fillId="136" borderId="9" xfId="0" applyNumberFormat="1" applyFont="1" applyFill="1" applyBorder="1" applyAlignment="1">
      <alignment horizontal="right"/>
    </xf>
    <xf numFmtId="165" fontId="22" fillId="137" borderId="9" xfId="0" applyNumberFormat="1" applyFont="1" applyFill="1" applyBorder="1" applyAlignment="1">
      <alignment horizontal="right"/>
    </xf>
    <xf numFmtId="165" fontId="22" fillId="138" borderId="9" xfId="0" applyNumberFormat="1" applyFont="1" applyFill="1" applyBorder="1" applyAlignment="1">
      <alignment horizontal="right"/>
    </xf>
    <xf numFmtId="165" fontId="22" fillId="139" borderId="9" xfId="0" applyNumberFormat="1" applyFont="1" applyFill="1" applyBorder="1" applyAlignment="1">
      <alignment horizontal="right"/>
    </xf>
    <xf numFmtId="0" fontId="22" fillId="37" borderId="9" xfId="0" applyFont="1" applyFill="1" applyBorder="1" applyAlignment="1">
      <alignment horizontal="right"/>
    </xf>
    <xf numFmtId="165" fontId="22" fillId="140" borderId="9" xfId="0" applyNumberFormat="1" applyFont="1" applyFill="1" applyBorder="1" applyAlignment="1">
      <alignment horizontal="right"/>
    </xf>
    <xf numFmtId="166" fontId="22" fillId="141" borderId="9" xfId="0" applyNumberFormat="1" applyFont="1" applyFill="1" applyBorder="1" applyAlignment="1">
      <alignment horizontal="center"/>
    </xf>
    <xf numFmtId="165" fontId="22" fillId="142" borderId="9" xfId="0" applyNumberFormat="1" applyFont="1" applyFill="1" applyBorder="1" applyAlignment="1">
      <alignment horizontal="right"/>
    </xf>
    <xf numFmtId="165" fontId="22" fillId="143" borderId="9" xfId="0" applyNumberFormat="1" applyFont="1" applyFill="1" applyBorder="1" applyAlignment="1">
      <alignment horizontal="right"/>
    </xf>
    <xf numFmtId="165" fontId="22" fillId="144" borderId="9" xfId="0" applyNumberFormat="1" applyFont="1" applyFill="1" applyBorder="1" applyAlignment="1">
      <alignment horizontal="right"/>
    </xf>
    <xf numFmtId="165" fontId="22" fillId="145" borderId="9" xfId="0" applyNumberFormat="1" applyFont="1" applyFill="1" applyBorder="1" applyAlignment="1">
      <alignment horizontal="right"/>
    </xf>
    <xf numFmtId="165" fontId="22" fillId="146" borderId="9" xfId="0" applyNumberFormat="1" applyFont="1" applyFill="1" applyBorder="1" applyAlignment="1">
      <alignment horizontal="right"/>
    </xf>
    <xf numFmtId="165" fontId="22" fillId="147" borderId="9" xfId="0" applyNumberFormat="1" applyFont="1" applyFill="1" applyBorder="1" applyAlignment="1">
      <alignment horizontal="right"/>
    </xf>
    <xf numFmtId="165" fontId="22" fillId="148" borderId="9" xfId="0" applyNumberFormat="1" applyFont="1" applyFill="1" applyBorder="1" applyAlignment="1">
      <alignment horizontal="right"/>
    </xf>
    <xf numFmtId="0" fontId="30" fillId="25" borderId="13" xfId="0" applyFont="1" applyFill="1" applyBorder="1" applyAlignment="1"/>
    <xf numFmtId="164" fontId="22" fillId="11" borderId="14" xfId="0" applyNumberFormat="1" applyFont="1" applyFill="1" applyBorder="1" applyAlignment="1">
      <alignment horizontal="right"/>
    </xf>
    <xf numFmtId="165" fontId="22" fillId="148" borderId="14" xfId="0" applyNumberFormat="1" applyFont="1" applyFill="1" applyBorder="1" applyAlignment="1">
      <alignment horizontal="right"/>
    </xf>
    <xf numFmtId="166" fontId="22" fillId="14" borderId="14" xfId="0" applyNumberFormat="1" applyFont="1" applyFill="1" applyBorder="1" applyAlignment="1">
      <alignment horizontal="center"/>
    </xf>
    <xf numFmtId="0" fontId="22" fillId="0" borderId="14" xfId="0" applyFont="1" applyBorder="1" applyAlignment="1"/>
    <xf numFmtId="0" fontId="22" fillId="0" borderId="14" xfId="0" applyFont="1" applyBorder="1" applyAlignment="1">
      <alignment horizontal="right"/>
    </xf>
    <xf numFmtId="168" fontId="22" fillId="0" borderId="14" xfId="0" applyNumberFormat="1" applyFont="1" applyBorder="1" applyAlignment="1"/>
    <xf numFmtId="169" fontId="22" fillId="0" borderId="14" xfId="0" applyNumberFormat="1" applyFont="1" applyBorder="1" applyAlignment="1">
      <alignment horizontal="right"/>
    </xf>
    <xf numFmtId="0" fontId="22" fillId="0" borderId="14" xfId="0" applyFont="1" applyBorder="1" applyAlignment="1">
      <alignment horizontal="center"/>
    </xf>
    <xf numFmtId="170" fontId="22" fillId="0" borderId="14" xfId="0" applyNumberFormat="1" applyFont="1" applyBorder="1" applyAlignment="1">
      <alignment horizontal="right"/>
    </xf>
    <xf numFmtId="0" fontId="56" fillId="7" borderId="12" xfId="0" applyFont="1" applyFill="1" applyBorder="1" applyAlignment="1"/>
    <xf numFmtId="167" fontId="3" fillId="0" borderId="12" xfId="0" applyNumberFormat="1" applyFont="1" applyBorder="1" applyAlignment="1"/>
    <xf numFmtId="0" fontId="57" fillId="0" borderId="12" xfId="0" applyFont="1" applyBorder="1" applyAlignment="1">
      <alignment horizontal="center"/>
    </xf>
    <xf numFmtId="0" fontId="58" fillId="0" borderId="12" xfId="0" applyFont="1" applyBorder="1" applyAlignment="1"/>
    <xf numFmtId="167" fontId="3" fillId="0" borderId="0" xfId="0" applyNumberFormat="1" applyFont="1" applyAlignment="1"/>
    <xf numFmtId="0" fontId="59" fillId="0" borderId="0" xfId="0" applyFont="1" applyAlignment="1"/>
    <xf numFmtId="49" fontId="6" fillId="0" borderId="0" xfId="0" applyNumberFormat="1" applyFont="1"/>
    <xf numFmtId="171" fontId="6" fillId="0" borderId="0" xfId="0" applyNumberFormat="1" applyFont="1"/>
    <xf numFmtId="0" fontId="60" fillId="0" borderId="0" xfId="0" applyFont="1" applyAlignment="1"/>
    <xf numFmtId="164" fontId="3" fillId="0" borderId="0" xfId="0" applyNumberFormat="1" applyFont="1"/>
    <xf numFmtId="165" fontId="3" fillId="0" borderId="0" xfId="0" applyNumberFormat="1" applyFont="1"/>
    <xf numFmtId="172" fontId="3" fillId="0" borderId="0" xfId="0" applyNumberFormat="1" applyFont="1"/>
    <xf numFmtId="169" fontId="3" fillId="0" borderId="0" xfId="0" applyNumberFormat="1" applyFont="1"/>
    <xf numFmtId="170" fontId="3" fillId="0" borderId="0" xfId="0" applyNumberFormat="1" applyFont="1"/>
    <xf numFmtId="168" fontId="3" fillId="0" borderId="0" xfId="0" applyNumberFormat="1" applyFont="1"/>
    <xf numFmtId="0" fontId="1" fillId="31" borderId="1" xfId="0" applyFont="1" applyFill="1" applyBorder="1" applyAlignment="1"/>
    <xf numFmtId="0" fontId="3" fillId="22" borderId="1" xfId="0" applyFont="1" applyFill="1" applyBorder="1" applyAlignment="1"/>
    <xf numFmtId="0" fontId="3" fillId="26" borderId="1" xfId="0" applyFont="1" applyFill="1" applyBorder="1" applyAlignment="1"/>
    <xf numFmtId="0" fontId="30" fillId="2" borderId="1" xfId="0" applyFont="1" applyFill="1" applyBorder="1" applyAlignment="1"/>
    <xf numFmtId="0" fontId="30" fillId="3" borderId="19" xfId="0" applyFont="1" applyFill="1" applyBorder="1" applyAlignment="1">
      <alignment textRotation="90"/>
    </xf>
    <xf numFmtId="0" fontId="30" fillId="5" borderId="19" xfId="0" applyFont="1" applyFill="1" applyBorder="1" applyAlignment="1">
      <alignment textRotation="90"/>
    </xf>
    <xf numFmtId="0" fontId="30" fillId="6" borderId="19" xfId="0" applyFont="1" applyFill="1" applyBorder="1" applyAlignment="1">
      <alignment textRotation="90"/>
    </xf>
    <xf numFmtId="0" fontId="30" fillId="8" borderId="19" xfId="0" applyFont="1" applyFill="1" applyBorder="1" applyAlignment="1">
      <alignment horizontal="center" textRotation="90"/>
    </xf>
    <xf numFmtId="0" fontId="30" fillId="4" borderId="19" xfId="0" applyFont="1" applyFill="1" applyBorder="1" applyAlignment="1">
      <alignment textRotation="90"/>
    </xf>
    <xf numFmtId="0" fontId="30" fillId="9" borderId="19" xfId="0" applyFont="1" applyFill="1" applyBorder="1" applyAlignment="1">
      <alignment horizontal="center" textRotation="90"/>
    </xf>
    <xf numFmtId="0" fontId="30" fillId="14" borderId="20" xfId="0" applyFont="1" applyFill="1" applyBorder="1" applyAlignment="1"/>
    <xf numFmtId="164" fontId="22" fillId="22" borderId="21" xfId="0" applyNumberFormat="1" applyFont="1" applyFill="1" applyBorder="1" applyAlignment="1">
      <alignment horizontal="right"/>
    </xf>
    <xf numFmtId="165" fontId="22" fillId="15" borderId="21" xfId="0" applyNumberFormat="1" applyFont="1" applyFill="1" applyBorder="1" applyAlignment="1">
      <alignment horizontal="right"/>
    </xf>
    <xf numFmtId="165" fontId="22" fillId="115" borderId="21" xfId="0" applyNumberFormat="1" applyFont="1" applyFill="1" applyBorder="1" applyAlignment="1">
      <alignment horizontal="right"/>
    </xf>
    <xf numFmtId="0" fontId="22" fillId="0" borderId="21" xfId="0" applyFont="1" applyBorder="1" applyAlignment="1">
      <alignment horizontal="right"/>
    </xf>
    <xf numFmtId="169" fontId="22" fillId="0" borderId="21" xfId="0" applyNumberFormat="1" applyFont="1" applyBorder="1" applyAlignment="1">
      <alignment horizontal="right"/>
    </xf>
    <xf numFmtId="171" fontId="22" fillId="0" borderId="21" xfId="0" applyNumberFormat="1" applyFont="1" applyBorder="1" applyAlignment="1">
      <alignment horizontal="center"/>
    </xf>
    <xf numFmtId="170" fontId="22" fillId="0" borderId="21" xfId="0" applyNumberFormat="1" applyFont="1" applyBorder="1" applyAlignment="1">
      <alignment horizontal="right"/>
    </xf>
    <xf numFmtId="168" fontId="22" fillId="26" borderId="21" xfId="0" applyNumberFormat="1" applyFont="1" applyFill="1" applyBorder="1" applyAlignment="1">
      <alignment horizontal="right"/>
    </xf>
    <xf numFmtId="0" fontId="30" fillId="14" borderId="8" xfId="0" applyFont="1" applyFill="1" applyBorder="1" applyAlignment="1"/>
    <xf numFmtId="164" fontId="22" fillId="12" borderId="11" xfId="0" applyNumberFormat="1" applyFont="1" applyFill="1" applyBorder="1" applyAlignment="1">
      <alignment horizontal="right"/>
    </xf>
    <xf numFmtId="165" fontId="22" fillId="15" borderId="11" xfId="0" applyNumberFormat="1" applyFont="1" applyFill="1" applyBorder="1" applyAlignment="1">
      <alignment horizontal="right"/>
    </xf>
    <xf numFmtId="165" fontId="22" fillId="116" borderId="11" xfId="0" applyNumberFormat="1" applyFont="1" applyFill="1" applyBorder="1" applyAlignment="1">
      <alignment horizontal="right"/>
    </xf>
    <xf numFmtId="0" fontId="22" fillId="0" borderId="11" xfId="0" applyFont="1" applyBorder="1" applyAlignment="1">
      <alignment horizontal="right"/>
    </xf>
    <xf numFmtId="0" fontId="22" fillId="28" borderId="11" xfId="0" applyFont="1" applyFill="1" applyBorder="1" applyAlignment="1">
      <alignment horizontal="right"/>
    </xf>
    <xf numFmtId="169" fontId="22" fillId="0" borderId="11" xfId="0" applyNumberFormat="1" applyFont="1" applyBorder="1" applyAlignment="1">
      <alignment horizontal="right"/>
    </xf>
    <xf numFmtId="171" fontId="22" fillId="0" borderId="11" xfId="0" applyNumberFormat="1" applyFont="1" applyBorder="1" applyAlignment="1">
      <alignment horizontal="center"/>
    </xf>
    <xf numFmtId="170" fontId="22" fillId="0" borderId="11" xfId="0" applyNumberFormat="1" applyFont="1" applyBorder="1" applyAlignment="1">
      <alignment horizontal="right"/>
    </xf>
    <xf numFmtId="168" fontId="22" fillId="0" borderId="11" xfId="0" applyNumberFormat="1" applyFont="1" applyBorder="1" applyAlignment="1">
      <alignment horizontal="right"/>
    </xf>
    <xf numFmtId="168" fontId="22" fillId="0" borderId="11" xfId="0" applyNumberFormat="1" applyFont="1" applyBorder="1" applyAlignment="1"/>
    <xf numFmtId="0" fontId="30" fillId="14" borderId="5" xfId="0" applyFont="1" applyFill="1" applyBorder="1" applyAlignment="1"/>
    <xf numFmtId="165" fontId="22" fillId="149" borderId="9" xfId="0" applyNumberFormat="1" applyFont="1" applyFill="1" applyBorder="1" applyAlignment="1">
      <alignment horizontal="right"/>
    </xf>
    <xf numFmtId="0" fontId="3" fillId="31" borderId="1" xfId="0" applyFont="1" applyFill="1" applyBorder="1" applyAlignment="1"/>
    <xf numFmtId="0" fontId="61" fillId="14" borderId="8" xfId="0" applyFont="1" applyFill="1" applyBorder="1" applyAlignment="1"/>
    <xf numFmtId="165" fontId="22" fillId="123" borderId="11" xfId="0" applyNumberFormat="1" applyFont="1" applyFill="1" applyBorder="1" applyAlignment="1">
      <alignment horizontal="right"/>
    </xf>
    <xf numFmtId="165" fontId="22" fillId="124" borderId="11" xfId="0" applyNumberFormat="1" applyFont="1" applyFill="1" applyBorder="1" applyAlignment="1">
      <alignment horizontal="right"/>
    </xf>
    <xf numFmtId="0" fontId="22" fillId="4" borderId="11" xfId="0" applyFont="1" applyFill="1" applyBorder="1" applyAlignment="1">
      <alignment horizontal="right"/>
    </xf>
    <xf numFmtId="168" fontId="22" fillId="26" borderId="11" xfId="0" applyNumberFormat="1" applyFont="1" applyFill="1" applyBorder="1" applyAlignment="1">
      <alignment horizontal="right"/>
    </xf>
    <xf numFmtId="168" fontId="22" fillId="0" borderId="9" xfId="0" applyNumberFormat="1" applyFont="1" applyBorder="1" applyAlignment="1"/>
    <xf numFmtId="165" fontId="22" fillId="150" borderId="9" xfId="0" applyNumberFormat="1" applyFont="1" applyFill="1" applyBorder="1" applyAlignment="1">
      <alignment horizontal="right"/>
    </xf>
    <xf numFmtId="174" fontId="3" fillId="0" borderId="1" xfId="0" applyNumberFormat="1" applyFont="1" applyBorder="1" applyAlignment="1"/>
    <xf numFmtId="0" fontId="1" fillId="0" borderId="0" xfId="0" applyFont="1" applyAlignment="1"/>
    <xf numFmtId="0" fontId="1" fillId="2" borderId="0" xfId="0" applyFont="1" applyFill="1" applyAlignment="1"/>
    <xf numFmtId="0" fontId="1" fillId="14" borderId="0" xfId="0" applyFont="1" applyFill="1" applyAlignment="1"/>
    <xf numFmtId="0" fontId="1" fillId="14" borderId="0" xfId="0" applyFont="1" applyFill="1" applyAlignment="1"/>
    <xf numFmtId="0" fontId="2" fillId="14" borderId="0" xfId="0" applyFont="1" applyFill="1"/>
    <xf numFmtId="0" fontId="1" fillId="14" borderId="8" xfId="0" applyFont="1" applyFill="1" applyBorder="1" applyAlignment="1"/>
    <xf numFmtId="0" fontId="6" fillId="0" borderId="8" xfId="0" applyFont="1" applyBorder="1" applyAlignment="1"/>
    <xf numFmtId="0" fontId="1" fillId="14" borderId="5" xfId="0" applyFont="1" applyFill="1" applyBorder="1" applyAlignment="1"/>
    <xf numFmtId="0" fontId="1" fillId="0" borderId="6" xfId="0" applyFont="1" applyBorder="1" applyAlignment="1"/>
    <xf numFmtId="0" fontId="1" fillId="14" borderId="6" xfId="0" applyFont="1" applyFill="1" applyBorder="1" applyAlignment="1"/>
    <xf numFmtId="0" fontId="62" fillId="11" borderId="0" xfId="0" applyFont="1" applyFill="1" applyAlignment="1"/>
    <xf numFmtId="0" fontId="1" fillId="2" borderId="12" xfId="0" applyFont="1" applyFill="1" applyBorder="1" applyAlignment="1"/>
    <xf numFmtId="0" fontId="1" fillId="4" borderId="12" xfId="0" applyFont="1" applyFill="1" applyBorder="1" applyAlignment="1">
      <alignment vertical="center" textRotation="90"/>
    </xf>
    <xf numFmtId="0" fontId="35" fillId="13" borderId="22" xfId="0" applyFont="1" applyFill="1" applyBorder="1" applyAlignment="1"/>
    <xf numFmtId="0" fontId="3" fillId="13" borderId="23" xfId="0" applyFont="1" applyFill="1" applyBorder="1" applyAlignment="1"/>
    <xf numFmtId="0" fontId="3" fillId="13" borderId="23" xfId="0" applyFont="1" applyFill="1" applyBorder="1" applyAlignment="1"/>
    <xf numFmtId="0" fontId="3" fillId="13" borderId="23" xfId="0" applyFont="1" applyFill="1" applyBorder="1" applyAlignment="1">
      <alignment horizontal="right"/>
    </xf>
    <xf numFmtId="0" fontId="1" fillId="13" borderId="23" xfId="0" applyFont="1" applyFill="1" applyBorder="1" applyAlignment="1"/>
    <xf numFmtId="0" fontId="3" fillId="13" borderId="24" xfId="0" applyFont="1" applyFill="1" applyBorder="1" applyAlignment="1"/>
    <xf numFmtId="0" fontId="1" fillId="0" borderId="25" xfId="0" applyFont="1" applyBorder="1" applyAlignment="1"/>
    <xf numFmtId="166" fontId="3" fillId="0" borderId="0" xfId="0" applyNumberFormat="1" applyFont="1" applyAlignment="1">
      <alignment horizontal="center"/>
    </xf>
    <xf numFmtId="165" fontId="3" fillId="0" borderId="0" xfId="0" applyNumberFormat="1" applyFont="1" applyAlignment="1"/>
    <xf numFmtId="49" fontId="3" fillId="0" borderId="0" xfId="0" applyNumberFormat="1" applyFont="1" applyAlignment="1"/>
    <xf numFmtId="0" fontId="6" fillId="0" borderId="0" xfId="0" applyFont="1" applyAlignment="1"/>
    <xf numFmtId="171" fontId="6" fillId="0" borderId="0" xfId="0" applyNumberFormat="1" applyFont="1" applyAlignment="1"/>
    <xf numFmtId="170" fontId="6" fillId="0" borderId="0" xfId="0" applyNumberFormat="1" applyFont="1" applyAlignment="1"/>
    <xf numFmtId="49" fontId="3" fillId="0" borderId="0" xfId="0" applyNumberFormat="1" applyFont="1" applyAlignment="1"/>
    <xf numFmtId="49" fontId="3" fillId="0" borderId="0" xfId="0" applyNumberFormat="1" applyFont="1" applyAlignment="1">
      <alignment horizontal="center"/>
    </xf>
    <xf numFmtId="170" fontId="3" fillId="0" borderId="26" xfId="0" applyNumberFormat="1" applyFont="1" applyBorder="1" applyAlignment="1"/>
    <xf numFmtId="0" fontId="2" fillId="14" borderId="0" xfId="0" applyFont="1" applyFill="1"/>
    <xf numFmtId="0" fontId="1" fillId="0" borderId="25" xfId="0" applyFont="1" applyBorder="1" applyAlignment="1"/>
    <xf numFmtId="0" fontId="6" fillId="0" borderId="0" xfId="0" applyFont="1" applyAlignment="1"/>
    <xf numFmtId="171" fontId="3" fillId="0" borderId="0" xfId="0" applyNumberFormat="1" applyFont="1" applyAlignment="1">
      <alignment horizontal="center"/>
    </xf>
    <xf numFmtId="0" fontId="3" fillId="0" borderId="0" xfId="0" applyFont="1" applyAlignment="1">
      <alignment horizontal="center"/>
    </xf>
    <xf numFmtId="49" fontId="3" fillId="0" borderId="0" xfId="0" applyNumberFormat="1" applyFont="1" applyAlignment="1">
      <alignment horizontal="center"/>
    </xf>
    <xf numFmtId="0" fontId="1" fillId="0" borderId="27" xfId="0" applyFont="1" applyBorder="1" applyAlignment="1"/>
    <xf numFmtId="164" fontId="3" fillId="0" borderId="4" xfId="0" applyNumberFormat="1" applyFont="1" applyBorder="1" applyAlignment="1"/>
    <xf numFmtId="165" fontId="3" fillId="0" borderId="4" xfId="0" applyNumberFormat="1" applyFont="1" applyBorder="1" applyAlignment="1"/>
    <xf numFmtId="166" fontId="3" fillId="0" borderId="4" xfId="0" applyNumberFormat="1" applyFont="1" applyBorder="1" applyAlignment="1">
      <alignment horizontal="center"/>
    </xf>
    <xf numFmtId="167" fontId="3" fillId="0" borderId="4" xfId="0" applyNumberFormat="1" applyFont="1" applyBorder="1" applyAlignment="1"/>
    <xf numFmtId="49" fontId="3" fillId="0" borderId="4" xfId="0" applyNumberFormat="1" applyFont="1" applyBorder="1" applyAlignment="1"/>
    <xf numFmtId="0" fontId="3" fillId="0" borderId="4" xfId="0" applyFont="1" applyBorder="1" applyAlignment="1">
      <alignment horizontal="right"/>
    </xf>
    <xf numFmtId="168" fontId="3" fillId="0" borderId="4" xfId="0" applyNumberFormat="1" applyFont="1" applyBorder="1" applyAlignment="1"/>
    <xf numFmtId="0" fontId="6" fillId="0" borderId="4" xfId="0" applyFont="1" applyBorder="1" applyAlignment="1"/>
    <xf numFmtId="169" fontId="3" fillId="0" borderId="4" xfId="0" applyNumberFormat="1" applyFont="1" applyBorder="1" applyAlignment="1"/>
    <xf numFmtId="49" fontId="3" fillId="0" borderId="4" xfId="0" applyNumberFormat="1" applyFont="1" applyBorder="1" applyAlignment="1">
      <alignment horizontal="center"/>
    </xf>
    <xf numFmtId="170" fontId="3" fillId="0" borderId="28" xfId="0" applyNumberFormat="1" applyFont="1" applyBorder="1" applyAlignment="1"/>
    <xf numFmtId="0" fontId="6" fillId="0" borderId="12" xfId="0" applyFont="1" applyBorder="1" applyAlignment="1"/>
    <xf numFmtId="49" fontId="3" fillId="0" borderId="12" xfId="0" applyNumberFormat="1" applyFont="1" applyBorder="1" applyAlignment="1"/>
    <xf numFmtId="171" fontId="3" fillId="0" borderId="12" xfId="0" applyNumberFormat="1" applyFont="1" applyBorder="1" applyAlignment="1">
      <alignment horizontal="center"/>
    </xf>
    <xf numFmtId="165" fontId="3" fillId="0" borderId="13" xfId="0" applyNumberFormat="1" applyFont="1" applyBorder="1" applyAlignment="1"/>
    <xf numFmtId="165" fontId="22" fillId="0" borderId="13" xfId="0" applyNumberFormat="1" applyFont="1" applyBorder="1" applyAlignment="1">
      <alignment horizontal="right"/>
    </xf>
    <xf numFmtId="49" fontId="3" fillId="0" borderId="13" xfId="0" applyNumberFormat="1" applyFont="1" applyBorder="1" applyAlignment="1"/>
    <xf numFmtId="0" fontId="6" fillId="0" borderId="13" xfId="0" applyFont="1" applyBorder="1" applyAlignment="1"/>
    <xf numFmtId="49" fontId="3" fillId="0" borderId="13" xfId="0" applyNumberFormat="1" applyFont="1" applyBorder="1" applyAlignment="1">
      <alignment horizontal="center"/>
    </xf>
    <xf numFmtId="170" fontId="3" fillId="0" borderId="29" xfId="0" applyNumberFormat="1" applyFont="1" applyBorder="1" applyAlignment="1"/>
    <xf numFmtId="0" fontId="1" fillId="25" borderId="30" xfId="0" applyFont="1" applyFill="1" applyBorder="1" applyAlignment="1"/>
    <xf numFmtId="164" fontId="3" fillId="25" borderId="31" xfId="0" applyNumberFormat="1" applyFont="1" applyFill="1" applyBorder="1" applyAlignment="1"/>
    <xf numFmtId="165" fontId="3" fillId="25" borderId="31" xfId="0" applyNumberFormat="1" applyFont="1" applyFill="1" applyBorder="1" applyAlignment="1"/>
    <xf numFmtId="166" fontId="3" fillId="25" borderId="31" xfId="0" applyNumberFormat="1" applyFont="1" applyFill="1" applyBorder="1" applyAlignment="1">
      <alignment horizontal="center"/>
    </xf>
    <xf numFmtId="165" fontId="22" fillId="25" borderId="31" xfId="0" applyNumberFormat="1" applyFont="1" applyFill="1" applyBorder="1" applyAlignment="1">
      <alignment horizontal="right"/>
    </xf>
    <xf numFmtId="165" fontId="22" fillId="25" borderId="32" xfId="0" applyNumberFormat="1" applyFont="1" applyFill="1" applyBorder="1" applyAlignment="1"/>
    <xf numFmtId="49" fontId="3" fillId="25" borderId="31" xfId="0" applyNumberFormat="1" applyFont="1" applyFill="1" applyBorder="1" applyAlignment="1"/>
    <xf numFmtId="0" fontId="3" fillId="25" borderId="31" xfId="0" applyFont="1" applyFill="1" applyBorder="1" applyAlignment="1">
      <alignment horizontal="right"/>
    </xf>
    <xf numFmtId="0" fontId="3" fillId="25" borderId="31" xfId="0" applyFont="1" applyFill="1" applyBorder="1" applyAlignment="1"/>
    <xf numFmtId="168" fontId="3" fillId="25" borderId="31" xfId="0" applyNumberFormat="1" applyFont="1" applyFill="1" applyBorder="1" applyAlignment="1"/>
    <xf numFmtId="0" fontId="6" fillId="25" borderId="31" xfId="0" applyFont="1" applyFill="1" applyBorder="1" applyAlignment="1"/>
    <xf numFmtId="169" fontId="3" fillId="25" borderId="31" xfId="0" applyNumberFormat="1" applyFont="1" applyFill="1" applyBorder="1" applyAlignment="1"/>
    <xf numFmtId="49" fontId="3" fillId="25" borderId="31" xfId="0" applyNumberFormat="1" applyFont="1" applyFill="1" applyBorder="1" applyAlignment="1">
      <alignment horizontal="center"/>
    </xf>
    <xf numFmtId="170" fontId="3" fillId="25" borderId="33" xfId="0" applyNumberFormat="1" applyFont="1" applyFill="1" applyBorder="1" applyAlignment="1"/>
    <xf numFmtId="165" fontId="22" fillId="0" borderId="0" xfId="0" applyNumberFormat="1" applyFont="1" applyAlignment="1">
      <alignment horizontal="right"/>
    </xf>
    <xf numFmtId="165" fontId="22" fillId="0" borderId="0" xfId="0" applyNumberFormat="1" applyFont="1" applyAlignment="1"/>
    <xf numFmtId="165" fontId="22" fillId="0" borderId="4" xfId="0" applyNumberFormat="1" applyFont="1" applyBorder="1" applyAlignment="1">
      <alignment horizontal="right"/>
    </xf>
    <xf numFmtId="165" fontId="22" fillId="0" borderId="4" xfId="0" applyNumberFormat="1" applyFont="1" applyBorder="1" applyAlignment="1"/>
    <xf numFmtId="164" fontId="1" fillId="17" borderId="0" xfId="0" applyNumberFormat="1" applyFont="1" applyFill="1" applyAlignment="1"/>
    <xf numFmtId="165" fontId="1" fillId="25" borderId="0" xfId="0" applyNumberFormat="1" applyFont="1" applyFill="1" applyAlignment="1"/>
    <xf numFmtId="0" fontId="1" fillId="0" borderId="0" xfId="0" applyFont="1" applyAlignment="1">
      <alignment horizontal="right"/>
    </xf>
    <xf numFmtId="0" fontId="1" fillId="25" borderId="0" xfId="0" applyNumberFormat="1" applyFont="1" applyFill="1" applyAlignment="1"/>
    <xf numFmtId="0" fontId="3" fillId="0" borderId="0" xfId="0" applyNumberFormat="1" applyFont="1" applyAlignment="1">
      <alignment horizontal="center"/>
    </xf>
    <xf numFmtId="175" fontId="35" fillId="17" borderId="0" xfId="0" applyNumberFormat="1" applyFont="1" applyFill="1"/>
    <xf numFmtId="175" fontId="1" fillId="25" borderId="0" xfId="0" applyNumberFormat="1" applyFont="1" applyFill="1" applyAlignment="1"/>
    <xf numFmtId="175" fontId="3" fillId="0" borderId="0" xfId="0" applyNumberFormat="1" applyFont="1" applyAlignment="1">
      <alignment horizontal="center"/>
    </xf>
    <xf numFmtId="176" fontId="3" fillId="0" borderId="0" xfId="0" applyNumberFormat="1" applyFont="1" applyAlignment="1"/>
    <xf numFmtId="176" fontId="2" fillId="14" borderId="0" xfId="0" applyNumberFormat="1" applyFont="1" applyFill="1"/>
    <xf numFmtId="0" fontId="1" fillId="0" borderId="5" xfId="0" applyFont="1" applyBorder="1" applyAlignment="1"/>
    <xf numFmtId="0" fontId="3" fillId="0" borderId="5" xfId="0" applyFont="1" applyBorder="1" applyAlignment="1">
      <alignment horizontal="center"/>
    </xf>
    <xf numFmtId="0" fontId="1" fillId="0" borderId="12" xfId="0" applyFont="1" applyBorder="1" applyAlignment="1"/>
    <xf numFmtId="170" fontId="6" fillId="0" borderId="0" xfId="0" applyNumberFormat="1" applyFont="1"/>
    <xf numFmtId="49" fontId="22" fillId="5" borderId="9" xfId="0" applyNumberFormat="1" applyFont="1" applyFill="1" applyBorder="1" applyAlignment="1"/>
    <xf numFmtId="0" fontId="30" fillId="14" borderId="0" xfId="0" applyFont="1" applyFill="1" applyAlignment="1"/>
    <xf numFmtId="164" fontId="22" fillId="12" borderId="0" xfId="0" applyNumberFormat="1" applyFont="1" applyFill="1" applyAlignment="1">
      <alignment horizontal="right"/>
    </xf>
    <xf numFmtId="165" fontId="22" fillId="14" borderId="0" xfId="0" applyNumberFormat="1" applyFont="1" applyFill="1" applyAlignment="1">
      <alignment horizontal="right"/>
    </xf>
    <xf numFmtId="166" fontId="22" fillId="0" borderId="0" xfId="0" applyNumberFormat="1" applyFont="1" applyAlignment="1">
      <alignment horizontal="center"/>
    </xf>
    <xf numFmtId="167" fontId="22" fillId="15" borderId="0" xfId="0" applyNumberFormat="1" applyFont="1" applyFill="1" applyAlignment="1">
      <alignment horizontal="right"/>
    </xf>
    <xf numFmtId="165" fontId="22" fillId="43" borderId="0" xfId="0" applyNumberFormat="1" applyFont="1" applyFill="1" applyAlignment="1">
      <alignment horizontal="right"/>
    </xf>
    <xf numFmtId="0" fontId="22" fillId="0" borderId="0" xfId="0" applyFont="1" applyAlignment="1">
      <alignment horizontal="right"/>
    </xf>
    <xf numFmtId="169" fontId="22" fillId="0" borderId="0" xfId="0" applyNumberFormat="1" applyFont="1" applyAlignment="1"/>
    <xf numFmtId="49" fontId="22" fillId="0" borderId="0" xfId="0" applyNumberFormat="1" applyFont="1" applyAlignment="1">
      <alignment horizontal="center"/>
    </xf>
    <xf numFmtId="170" fontId="22" fillId="0" borderId="0" xfId="0" applyNumberFormat="1" applyFont="1" applyAlignment="1"/>
    <xf numFmtId="168" fontId="22" fillId="0" borderId="0" xfId="0" applyNumberFormat="1" applyFont="1" applyAlignment="1"/>
    <xf numFmtId="0" fontId="63" fillId="14" borderId="20" xfId="0" applyFont="1" applyFill="1" applyBorder="1" applyAlignment="1"/>
    <xf numFmtId="164" fontId="22" fillId="12" borderId="21" xfId="0" applyNumberFormat="1" applyFont="1" applyFill="1" applyBorder="1" applyAlignment="1">
      <alignment horizontal="right"/>
    </xf>
    <xf numFmtId="165" fontId="22" fillId="14" borderId="21" xfId="0" applyNumberFormat="1" applyFont="1" applyFill="1" applyBorder="1" applyAlignment="1">
      <alignment horizontal="right"/>
    </xf>
    <xf numFmtId="166" fontId="22" fillId="0" borderId="21" xfId="0" applyNumberFormat="1" applyFont="1" applyBorder="1" applyAlignment="1">
      <alignment horizontal="center"/>
    </xf>
    <xf numFmtId="167" fontId="22" fillId="15" borderId="21" xfId="0" applyNumberFormat="1" applyFont="1" applyFill="1" applyBorder="1" applyAlignment="1">
      <alignment horizontal="right"/>
    </xf>
    <xf numFmtId="165" fontId="22" fillId="43" borderId="21" xfId="0" applyNumberFormat="1" applyFont="1" applyFill="1" applyBorder="1" applyAlignment="1">
      <alignment horizontal="right"/>
    </xf>
    <xf numFmtId="0" fontId="22" fillId="0" borderId="21" xfId="0" applyFont="1" applyBorder="1" applyAlignment="1">
      <alignment horizontal="right"/>
    </xf>
    <xf numFmtId="0" fontId="22" fillId="0" borderId="21" xfId="0" applyFont="1" applyBorder="1" applyAlignment="1"/>
    <xf numFmtId="169" fontId="22" fillId="0" borderId="21" xfId="0" applyNumberFormat="1" applyFont="1" applyBorder="1" applyAlignment="1"/>
    <xf numFmtId="49" fontId="22" fillId="0" borderId="21" xfId="0" applyNumberFormat="1" applyFont="1" applyBorder="1" applyAlignment="1">
      <alignment horizontal="center"/>
    </xf>
    <xf numFmtId="170" fontId="22" fillId="0" borderId="21" xfId="0" applyNumberFormat="1" applyFont="1" applyBorder="1" applyAlignment="1"/>
    <xf numFmtId="168" fontId="22" fillId="0" borderId="21" xfId="0" applyNumberFormat="1" applyFont="1" applyBorder="1" applyAlignment="1"/>
    <xf numFmtId="0" fontId="22" fillId="0" borderId="21" xfId="0" applyFont="1" applyBorder="1" applyAlignment="1"/>
    <xf numFmtId="0" fontId="64" fillId="14" borderId="0" xfId="0" applyFont="1" applyFill="1" applyAlignment="1"/>
    <xf numFmtId="164" fontId="22" fillId="12" borderId="0" xfId="0" applyNumberFormat="1" applyFont="1" applyFill="1" applyAlignment="1">
      <alignment horizontal="right"/>
    </xf>
    <xf numFmtId="165" fontId="22" fillId="14" borderId="0" xfId="0" applyNumberFormat="1" applyFont="1" applyFill="1" applyAlignment="1">
      <alignment horizontal="right"/>
    </xf>
    <xf numFmtId="166" fontId="22" fillId="0" borderId="0" xfId="0" applyNumberFormat="1" applyFont="1" applyAlignment="1">
      <alignment horizontal="center"/>
    </xf>
    <xf numFmtId="167" fontId="22" fillId="15" borderId="0" xfId="0" applyNumberFormat="1" applyFont="1" applyFill="1" applyAlignment="1">
      <alignment horizontal="right"/>
    </xf>
    <xf numFmtId="165" fontId="22" fillId="43" borderId="0" xfId="0" applyNumberFormat="1" applyFont="1" applyFill="1" applyAlignment="1">
      <alignment horizontal="right"/>
    </xf>
    <xf numFmtId="0" fontId="22" fillId="0" borderId="0" xfId="0" applyFont="1" applyAlignment="1">
      <alignment horizontal="right"/>
    </xf>
    <xf numFmtId="0" fontId="22" fillId="0" borderId="0" xfId="0" applyFont="1" applyAlignment="1"/>
    <xf numFmtId="169" fontId="22" fillId="0" borderId="0" xfId="0" applyNumberFormat="1" applyFont="1" applyAlignment="1"/>
    <xf numFmtId="49" fontId="22" fillId="0" borderId="0" xfId="0" applyNumberFormat="1" applyFont="1" applyAlignment="1">
      <alignment horizontal="center"/>
    </xf>
    <xf numFmtId="0" fontId="65" fillId="14" borderId="0" xfId="0" applyFont="1" applyFill="1" applyAlignment="1"/>
    <xf numFmtId="0" fontId="30" fillId="14" borderId="0" xfId="0" applyFont="1" applyFill="1" applyAlignment="1"/>
    <xf numFmtId="0" fontId="66" fillId="0" borderId="5" xfId="0" applyFont="1" applyBorder="1" applyAlignment="1"/>
    <xf numFmtId="0" fontId="68" fillId="2" borderId="1" xfId="0" applyFont="1" applyFill="1" applyBorder="1" applyAlignment="1"/>
    <xf numFmtId="49" fontId="3" fillId="13" borderId="0" xfId="0" applyNumberFormat="1" applyFont="1" applyFill="1" applyAlignment="1"/>
    <xf numFmtId="49" fontId="0" fillId="0" borderId="0" xfId="0" applyNumberFormat="1" applyFont="1" applyAlignment="1"/>
    <xf numFmtId="49" fontId="67" fillId="0" borderId="5" xfId="0" applyNumberFormat="1" applyFont="1" applyBorder="1" applyAlignment="1">
      <alignment horizontal="center"/>
    </xf>
    <xf numFmtId="49" fontId="67" fillId="0" borderId="1" xfId="0" applyNumberFormat="1" applyFont="1" applyBorder="1" applyAlignment="1">
      <alignment horizontal="center"/>
    </xf>
    <xf numFmtId="0" fontId="68" fillId="14" borderId="2" xfId="0" applyFont="1" applyFill="1" applyBorder="1" applyAlignment="1"/>
    <xf numFmtId="49" fontId="67" fillId="0" borderId="2" xfId="0" applyNumberFormat="1" applyFont="1" applyBorder="1" applyAlignment="1">
      <alignment horizontal="center"/>
    </xf>
    <xf numFmtId="0" fontId="69" fillId="14" borderId="8" xfId="0" applyFont="1" applyFill="1" applyBorder="1" applyAlignment="1"/>
    <xf numFmtId="49" fontId="67" fillId="0" borderId="8" xfId="0" applyNumberFormat="1" applyFont="1" applyBorder="1" applyAlignment="1">
      <alignment horizontal="center"/>
    </xf>
    <xf numFmtId="0" fontId="69" fillId="14" borderId="5" xfId="0" applyFont="1" applyFill="1" applyBorder="1" applyAlignment="1"/>
    <xf numFmtId="0" fontId="67" fillId="0" borderId="5" xfId="0" applyFont="1" applyBorder="1" applyAlignment="1">
      <alignment horizontal="right"/>
    </xf>
    <xf numFmtId="49" fontId="67" fillId="0" borderId="5" xfId="0" applyNumberFormat="1" applyFont="1" applyBorder="1" applyAlignment="1"/>
    <xf numFmtId="0" fontId="68" fillId="14" borderId="5" xfId="0" applyFont="1" applyFill="1" applyBorder="1" applyAlignment="1"/>
    <xf numFmtId="0" fontId="68" fillId="14" borderId="1" xfId="0" applyFont="1" applyFill="1" applyBorder="1" applyAlignment="1"/>
    <xf numFmtId="0" fontId="69" fillId="14" borderId="1" xfId="0" applyFont="1" applyFill="1" applyBorder="1" applyAlignment="1"/>
    <xf numFmtId="165" fontId="67" fillId="14" borderId="1" xfId="0" applyNumberFormat="1" applyFont="1" applyFill="1" applyBorder="1" applyAlignment="1"/>
    <xf numFmtId="0" fontId="68" fillId="0" borderId="1" xfId="0" applyFont="1" applyBorder="1" applyAlignment="1"/>
    <xf numFmtId="0" fontId="69" fillId="14" borderId="2" xfId="0" applyFont="1" applyFill="1" applyBorder="1" applyAlignment="1"/>
    <xf numFmtId="0" fontId="69" fillId="0" borderId="1" xfId="0" applyFont="1" applyBorder="1" applyAlignment="1"/>
    <xf numFmtId="0" fontId="67" fillId="0" borderId="1" xfId="0" applyFont="1" applyBorder="1" applyAlignment="1">
      <alignment horizontal="right"/>
    </xf>
    <xf numFmtId="0" fontId="70" fillId="14" borderId="2" xfId="1" applyFill="1" applyBorder="1" applyAlignment="1"/>
    <xf numFmtId="165" fontId="3" fillId="25" borderId="8" xfId="0" applyNumberFormat="1" applyFont="1" applyFill="1" applyBorder="1" applyAlignment="1">
      <alignment horizontal="right"/>
    </xf>
    <xf numFmtId="0" fontId="4" fillId="14" borderId="5" xfId="0" applyFont="1" applyFill="1" applyBorder="1" applyAlignment="1"/>
    <xf numFmtId="0" fontId="70" fillId="14" borderId="1" xfId="1" applyFill="1" applyBorder="1" applyAlignment="1"/>
    <xf numFmtId="0" fontId="1" fillId="3" borderId="1" xfId="0" applyFont="1" applyFill="1" applyBorder="1" applyAlignment="1">
      <alignment textRotation="90"/>
    </xf>
    <xf numFmtId="0" fontId="1" fillId="4" borderId="1" xfId="0" applyFont="1" applyFill="1" applyBorder="1" applyAlignment="1">
      <alignment textRotation="90"/>
    </xf>
    <xf numFmtId="0" fontId="1" fillId="2" borderId="1" xfId="0" applyFont="1" applyFill="1" applyBorder="1" applyAlignment="1">
      <alignment textRotation="90"/>
    </xf>
    <xf numFmtId="0" fontId="1" fillId="5" borderId="1" xfId="0" applyFont="1" applyFill="1" applyBorder="1" applyAlignment="1">
      <alignment textRotation="90"/>
    </xf>
    <xf numFmtId="0" fontId="1" fillId="6" borderId="1" xfId="0" applyFont="1" applyFill="1" applyBorder="1" applyAlignment="1">
      <alignment textRotation="90"/>
    </xf>
    <xf numFmtId="0" fontId="1" fillId="8" borderId="1" xfId="0" applyFont="1" applyFill="1" applyBorder="1" applyAlignment="1">
      <alignment horizontal="center" textRotation="90"/>
    </xf>
    <xf numFmtId="49" fontId="1" fillId="4" borderId="1" xfId="0" applyNumberFormat="1" applyFont="1" applyFill="1" applyBorder="1" applyAlignment="1">
      <alignment textRotation="90"/>
    </xf>
    <xf numFmtId="0" fontId="1" fillId="12" borderId="1" xfId="0" applyFont="1" applyFill="1" applyBorder="1" applyAlignment="1">
      <alignment textRotation="90"/>
    </xf>
    <xf numFmtId="0" fontId="1" fillId="10" borderId="0" xfId="0" applyFont="1" applyFill="1" applyAlignment="1">
      <alignment textRotation="90"/>
    </xf>
    <xf numFmtId="0" fontId="67" fillId="0" borderId="0" xfId="0" applyFont="1" applyAlignment="1"/>
    <xf numFmtId="0" fontId="71" fillId="0" borderId="0" xfId="0" applyFont="1" applyAlignment="1"/>
    <xf numFmtId="0" fontId="67" fillId="0" borderId="6" xfId="0" applyFont="1" applyBorder="1"/>
  </cellXfs>
  <cellStyles count="2">
    <cellStyle name="Hyperlink" xfId="1" builtinId="8"/>
    <cellStyle name="Normal" xfId="0" builtinId="0"/>
  </cellStyles>
  <dxfs count="423">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B7E1CD"/>
          <bgColor rgb="FFB7E1CD"/>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ont>
        <color rgb="FF000000"/>
      </font>
      <fill>
        <patternFill patternType="solid">
          <fgColor rgb="FFE06666"/>
          <bgColor rgb="FFE06666"/>
        </patternFill>
      </fill>
    </dxf>
    <dxf>
      <font>
        <color rgb="FF000000"/>
      </font>
      <fill>
        <patternFill patternType="solid">
          <fgColor rgb="FFFFE599"/>
          <bgColor rgb="FFFFE599"/>
        </patternFill>
      </fill>
    </dxf>
    <dxf>
      <fill>
        <patternFill patternType="solid">
          <fgColor rgb="FFB7E1CD"/>
          <bgColor rgb="FFB7E1CD"/>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B7E1CD"/>
          <bgColor rgb="FFB7E1CD"/>
        </patternFill>
      </fill>
    </dxf>
    <dxf>
      <fill>
        <patternFill patternType="solid">
          <fgColor rgb="FFFCE8B2"/>
          <bgColor rgb="FFFCE8B2"/>
        </patternFill>
      </fill>
    </dxf>
    <dxf>
      <font>
        <color rgb="FF000000"/>
      </font>
      <fill>
        <patternFill patternType="solid">
          <fgColor rgb="FFE06666"/>
          <bgColor rgb="FFE06666"/>
        </patternFill>
      </fill>
    </dxf>
    <dxf>
      <font>
        <color rgb="FF000000"/>
      </font>
      <fill>
        <patternFill patternType="solid">
          <fgColor rgb="FFFFE599"/>
          <bgColor rgb="FFFFE599"/>
        </patternFill>
      </fill>
    </dxf>
    <dxf>
      <fill>
        <patternFill patternType="solid">
          <fgColor rgb="FFB7E1CD"/>
          <bgColor rgb="FFB7E1CD"/>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CCCCCC"/>
      </font>
      <fill>
        <patternFill patternType="solid">
          <fgColor rgb="FFB7E1CD"/>
          <bgColor rgb="FFB7E1CD"/>
        </patternFill>
      </fill>
    </dxf>
    <dxf>
      <font>
        <color rgb="FFEFEFEF"/>
      </font>
      <fill>
        <patternFill patternType="none"/>
      </fill>
    </dxf>
    <dxf>
      <font>
        <b/>
        <color rgb="FFFFFFFF"/>
      </font>
      <fill>
        <patternFill patternType="none"/>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EA9999"/>
          <bgColor rgb="FFEA9999"/>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ont>
        <color rgb="FFCCCCCC"/>
      </font>
      <fill>
        <patternFill patternType="solid">
          <fgColor rgb="FFB7E1CD"/>
          <bgColor rgb="FFB7E1CD"/>
        </patternFill>
      </fill>
    </dxf>
    <dxf>
      <font>
        <color rgb="FFEFEFEF"/>
      </font>
      <fill>
        <patternFill patternType="none"/>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ont>
        <b/>
        <color rgb="FFFFFFFF"/>
      </font>
      <fill>
        <patternFill patternType="none"/>
      </fill>
    </dxf>
    <dxf>
      <fill>
        <patternFill patternType="solid">
          <fgColor rgb="FFEA9999"/>
          <bgColor rgb="FFEA9999"/>
        </patternFill>
      </fill>
    </dxf>
    <dxf>
      <fill>
        <patternFill patternType="solid">
          <fgColor rgb="FFE06666"/>
          <bgColor rgb="FFE06666"/>
        </patternFill>
      </fill>
    </dxf>
    <dxf>
      <fill>
        <patternFill patternType="solid">
          <fgColor rgb="FF8E7CC3"/>
          <bgColor rgb="FF8E7CC3"/>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B7E1CD"/>
          <bgColor rgb="FFB7E1CD"/>
        </patternFill>
      </fill>
    </dxf>
    <dxf>
      <fill>
        <patternFill patternType="solid">
          <fgColor rgb="FFFCE8B2"/>
          <bgColor rgb="FFFCE8B2"/>
        </patternFill>
      </fill>
    </dxf>
    <dxf>
      <font>
        <color rgb="FFCCCCCC"/>
      </font>
      <fill>
        <patternFill patternType="solid">
          <fgColor rgb="FFB7E1CD"/>
          <bgColor rgb="FFB7E1CD"/>
        </patternFill>
      </fill>
    </dxf>
    <dxf>
      <font>
        <color rgb="FFEFEFEF"/>
      </font>
      <fill>
        <patternFill patternType="none"/>
      </fill>
    </dxf>
    <dxf>
      <font>
        <b/>
        <color rgb="FFFFFFFF"/>
      </font>
      <fill>
        <patternFill patternType="none"/>
      </fill>
    </dxf>
    <dxf>
      <fill>
        <patternFill patternType="solid">
          <fgColor rgb="FF8E7CC3"/>
          <bgColor rgb="FF8E7CC3"/>
        </patternFill>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
      <fill>
        <patternFill patternType="solid">
          <fgColor rgb="FFB7E1CD"/>
          <bgColor rgb="FFB7E1CD"/>
        </patternFill>
      </fill>
    </dxf>
    <dxf>
      <fill>
        <patternFill patternType="solid">
          <fgColor rgb="FFFCE8B2"/>
          <bgColor rgb="FFFCE8B2"/>
        </patternFill>
      </fill>
    </dxf>
    <dxf>
      <fill>
        <patternFill patternType="solid">
          <fgColor rgb="FF6FA8DC"/>
          <bgColor rgb="FF6FA8DC"/>
        </patternFill>
      </fill>
    </dxf>
    <dxf>
      <fill>
        <patternFill patternType="solid">
          <fgColor rgb="FF9FC5E8"/>
          <bgColor rgb="FF9FC5E8"/>
        </patternFill>
      </fill>
    </dxf>
    <dxf>
      <fill>
        <patternFill patternType="solid">
          <fgColor rgb="FFCFE2F3"/>
          <bgColor rgb="FFCFE2F3"/>
        </patternFill>
      </fill>
    </dxf>
    <dxf>
      <font>
        <color rgb="FFCCCCCC"/>
      </font>
      <fill>
        <patternFill patternType="solid">
          <fgColor rgb="FFB7E1CD"/>
          <bgColor rgb="FFB7E1CD"/>
        </patternFill>
      </fill>
    </dxf>
    <dxf>
      <font>
        <color rgb="FFEFEFEF"/>
      </font>
      <fill>
        <patternFill patternType="none"/>
      </fill>
    </dxf>
    <dxf>
      <fill>
        <patternFill patternType="solid">
          <fgColor rgb="FFB7E1CD"/>
          <bgColor rgb="FFB7E1CD"/>
        </patternFill>
      </fill>
    </dxf>
    <dxf>
      <font>
        <b/>
        <color rgb="FFFFFFFF"/>
      </font>
      <fill>
        <patternFill patternType="none"/>
      </fill>
    </dxf>
    <dxf>
      <fill>
        <patternFill patternType="solid">
          <fgColor rgb="FFE06666"/>
          <bgColor rgb="FFE06666"/>
        </patternFill>
      </fill>
    </dxf>
    <dxf>
      <fill>
        <patternFill patternType="solid">
          <fgColor rgb="FFEA9999"/>
          <bgColor rgb="FFEA9999"/>
        </patternFill>
      </fill>
    </dxf>
    <dxf>
      <fill>
        <patternFill patternType="solid">
          <fgColor rgb="FFFFD966"/>
          <bgColor rgb="FFFFD966"/>
        </patternFill>
      </fill>
    </dxf>
    <dxf>
      <fill>
        <patternFill patternType="solid">
          <fgColor rgb="FF6AA84F"/>
          <bgColor rgb="FF6AA84F"/>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bay.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amzn.to/2Ld8hOS" TargetMode="External"/><Relationship Id="rId299" Type="http://schemas.openxmlformats.org/officeDocument/2006/relationships/hyperlink" Target="https://phillipreeve.net/blog/rolling-review-zeiss-loxia-85mm-2-4/" TargetMode="External"/><Relationship Id="rId21" Type="http://schemas.openxmlformats.org/officeDocument/2006/relationships/hyperlink" Target="https://amzn.to/2SX2HUi" TargetMode="External"/><Relationship Id="rId63" Type="http://schemas.openxmlformats.org/officeDocument/2006/relationships/hyperlink" Target="http://amzn.to/2vvtDkM" TargetMode="External"/><Relationship Id="rId159" Type="http://schemas.openxmlformats.org/officeDocument/2006/relationships/hyperlink" Target="http://rover.ebay.com/rover/1/711-53200-19255-0/1?icep_ff3=9&amp;pub=5575076376&amp;toolid=10001&amp;campid=5338573609&amp;customid=&amp;icep_uq=sigma+art+35+1.2+-1.4+sony&amp;icep_sellerId=&amp;icep_ex_kw=&amp;icep_sortBy=12&amp;icep_catId=3323&amp;icep_minPrice=&amp;icep_maxPrice=&amp;ipn=psmain&amp;icep_vectorid=229466&amp;kwid=902099&amp;mtid=824&amp;kw=lg" TargetMode="External"/><Relationship Id="rId324" Type="http://schemas.openxmlformats.org/officeDocument/2006/relationships/hyperlink" Target="https://phillipreeve.net/blog/voigtlander-110mm-f2-5-apo-review/" TargetMode="External"/><Relationship Id="rId170" Type="http://schemas.openxmlformats.org/officeDocument/2006/relationships/hyperlink" Target="https://phillipreeve.net/blog/review-voigtlander-35mm-1-4-nokton-e-classic/" TargetMode="External"/><Relationship Id="rId226" Type="http://schemas.openxmlformats.org/officeDocument/2006/relationships/hyperlink" Target="http://rover.ebay.com/rover/1/711-53200-19255-0/1?icep_ff3=9&amp;pub=5575076376&amp;toolid=10001&amp;campid=5338164340&amp;customid=&amp;icep_uq=sony+50+1.4+za&amp;icep_sellerId=&amp;icep_ex_kw=&amp;icep_sortBy=12&amp;icep_catId=3323&amp;icep_minPrice=&amp;icep_maxPrice=&amp;ipn=psmain&amp;icep_vectorid=229466&amp;kwid=902099&amp;mtid=824&amp;kw=lg" TargetMode="External"/><Relationship Id="rId268" Type="http://schemas.openxmlformats.org/officeDocument/2006/relationships/hyperlink" Target="http://rover.ebay.com/rover/1/711-53200-19255-0/1?icep_ff3=9&amp;pub=5575076376&amp;toolid=10001&amp;campid=5338164340&amp;customid=&amp;icep_uq=sony+70-300+g+oss+-ssm&amp;icep_sellerId=&amp;icep_ex_kw=&amp;icep_sortBy=12&amp;icep_catId=3323&amp;icep_minPrice=&amp;icep_maxPrice=&amp;ipn=psmain&amp;icep_vectorid=229466&amp;kwid=902099&amp;mtid=824&amp;kw=lg" TargetMode="External"/><Relationship Id="rId32" Type="http://schemas.openxmlformats.org/officeDocument/2006/relationships/hyperlink" Target="https://www.bhphotovideo.com/c/product/1380866-REG/sony_16_35mm_f_4_vario_tsr.html/BI/19619/KBID/12129/kw/SO16354F/DFF/d10-v2-t1-xSO16354F" TargetMode="External"/><Relationship Id="rId74" Type="http://schemas.openxmlformats.org/officeDocument/2006/relationships/hyperlink" Target="http://rover.ebay.com/rover/1/711-53200-19255-0/1?icep_ff3=9&amp;pub=5575076376&amp;toolid=10001&amp;campid=5338573609&amp;customid=&amp;icep_uq=Voigtlander+Sony+21mm+1.4&amp;icep_sellerId=&amp;icep_ex_kw=&amp;icep_sortBy=12&amp;icep_catId=3323&amp;icep_minPrice=&amp;icep_maxPrice=&amp;ipn=psmain&amp;icep_vectorid=229466&amp;kwid=902099&amp;mtid=824&amp;kw=lg" TargetMode="External"/><Relationship Id="rId128" Type="http://schemas.openxmlformats.org/officeDocument/2006/relationships/hyperlink" Target="http://rover.ebay.com/rover/1/711-53200-19255-0/1?icep_ff3=9&amp;pub=5575076376&amp;toolid=10001&amp;campid=5338573609&amp;customid=&amp;icep_uq=Zeiss+batis+25mm&amp;icep_sellerId=&amp;icep_ex_kw=&amp;icep_sortBy=12&amp;icep_catId=3323&amp;icep_minPrice=&amp;icep_maxPrice=&amp;ipn=psmain&amp;icep_vectorid=229466&amp;kwid=902099&amp;mtid=824&amp;kw=lg" TargetMode="External"/><Relationship Id="rId335" Type="http://schemas.openxmlformats.org/officeDocument/2006/relationships/hyperlink" Target="http://rover.ebay.com/rover/1/711-53200-19255-0/1?icep_ff3=9&amp;pub=5575076376&amp;toolid=10001&amp;campid=5338164340&amp;customid=&amp;icep_uq=sigma+art+135+sony&amp;icep_sellerId=&amp;icep_ex_kw=&amp;icep_sortBy=12&amp;icep_catId=3323&amp;icep_minPrice=&amp;icep_maxPrice=&amp;ipn=psmain&amp;icep_vectorid=229466&amp;kwid=902099&amp;mtid=824&amp;kw=lg" TargetMode="External"/><Relationship Id="rId5" Type="http://schemas.openxmlformats.org/officeDocument/2006/relationships/hyperlink" Target="https://www.bhphotovideo.com/c/product/1219550-REG/voigtlander_ba334b_heliar_hyper_wide_10mm_f_5_6.html/BI/19619/KBID/12129/DFF/d10-v21-t1-x732282/SID/EZ" TargetMode="External"/><Relationship Id="rId181" Type="http://schemas.openxmlformats.org/officeDocument/2006/relationships/hyperlink" Target="https://amzn.to/31HFLMg" TargetMode="External"/><Relationship Id="rId237" Type="http://schemas.openxmlformats.org/officeDocument/2006/relationships/hyperlink" Target="http://amzn.to/2wyHB25" TargetMode="External"/><Relationship Id="rId279" Type="http://schemas.openxmlformats.org/officeDocument/2006/relationships/hyperlink" Target="https://www.bhphotovideo.com/c/product/1393494-REG/sigma_85mm_f_1_4_dg_hsm.html/BI/19619/KBID/12129/kw/SI8514SO/DFF/d10-v2-t1-xSI8514SO" TargetMode="External"/><Relationship Id="rId43" Type="http://schemas.openxmlformats.org/officeDocument/2006/relationships/hyperlink" Target="http://rover.ebay.com/rover/1/711-53200-19255-0/1?icep_ff3=9&amp;pub=5575076376&amp;toolid=10001&amp;campid=5338573609&amp;customid=&amp;icep_uq=tamron+17-28+sony&amp;icep_sellerId=&amp;icep_ex_kw=&amp;icep_sortBy=12&amp;icep_catId=3323&amp;icep_minPrice=&amp;icep_maxPrice=&amp;ipn=psmain&amp;icep_vectorid=229466&amp;kwid=902099&amp;mtid=824&amp;kw=lg" TargetMode="External"/><Relationship Id="rId139" Type="http://schemas.openxmlformats.org/officeDocument/2006/relationships/hyperlink" Target="https://amzn.to/2GXJWdo" TargetMode="External"/><Relationship Id="rId290" Type="http://schemas.openxmlformats.org/officeDocument/2006/relationships/hyperlink" Target="https://amzn.to/2T8oWqt" TargetMode="External"/><Relationship Id="rId304" Type="http://schemas.openxmlformats.org/officeDocument/2006/relationships/hyperlink" Target="http://amzn.to/2fbeX3x" TargetMode="External"/><Relationship Id="rId85" Type="http://schemas.openxmlformats.org/officeDocument/2006/relationships/hyperlink" Target="https://phillipreeve.net/blog/review-sony-fe-24mm-1-4-gm/" TargetMode="External"/><Relationship Id="rId150" Type="http://schemas.openxmlformats.org/officeDocument/2006/relationships/hyperlink" Target="https://www.amazon.de/gp/product/B00HSHFPD0/ref=as_li_tl?ie=UTF8&amp;tag=wwwphillipree-21&amp;camp=1638&amp;creative=6742&amp;linkCode=as2&amp;creativeASIN=B00HSHFPD0&amp;linkId=6701f30673f8a4071232ca85e1953506" TargetMode="External"/><Relationship Id="rId192" Type="http://schemas.openxmlformats.org/officeDocument/2006/relationships/hyperlink" Target="http://rover.ebay.com/rover/1/711-53200-19255-0/1?icep_ff3=9&amp;pub=5575076376&amp;toolid=10001&amp;campid=5338573609&amp;customid=&amp;icep_uq=sony+35+2.8+&amp;icep_sellerId=&amp;icep_ex_kw=&amp;icep_sortBy=12&amp;icep_catId=3323&amp;icep_minPrice=&amp;icep_maxPrice=&amp;ipn=psmain&amp;icep_vectorid=229466&amp;kwid=902099&amp;mtid=824&amp;kw=lg" TargetMode="External"/><Relationship Id="rId206" Type="http://schemas.openxmlformats.org/officeDocument/2006/relationships/hyperlink" Target="https://phillipreeve.net/blog/review-sigma-40mm-1-4-art/" TargetMode="External"/><Relationship Id="rId248" Type="http://schemas.openxmlformats.org/officeDocument/2006/relationships/hyperlink" Target="http://amzn.to/2v2g0qz" TargetMode="External"/><Relationship Id="rId12" Type="http://schemas.openxmlformats.org/officeDocument/2006/relationships/hyperlink" Target="https://phillipreeve.net/blog/review-voigtlander-12mm-5-6-aspherical-ultra-wide-heliar/" TargetMode="External"/><Relationship Id="rId108" Type="http://schemas.openxmlformats.org/officeDocument/2006/relationships/hyperlink" Target="http://rover.ebay.com/rover/1/711-53200-19255-0/1?icep_ff3=9&amp;pub=5575076376&amp;toolid=10001&amp;campid=5338573609&amp;customid=&amp;icep_uq=sony+gm+24-70+2.8&amp;icep_sellerId=&amp;icep_ex_kw=&amp;icep_sortBy=12&amp;icep_catId=3323&amp;icep_minPrice=&amp;icep_maxPrice=&amp;ipn=psmain&amp;icep_vectorid=229466&amp;kwid=902099&amp;mtid=824&amp;kw=lg" TargetMode="External"/><Relationship Id="rId315" Type="http://schemas.openxmlformats.org/officeDocument/2006/relationships/hyperlink" Target="https://www.amazon.de/Tokina-FiRIN-Makroobjektiv-Vollformatobjektiv-Mount/dp/B07R1KVZT9/ref=as_li_ss_tl?__mk_de_DE=%C3%85M%C3%85%C5%BD%C3%95%C3%91&amp;crid=27PITEVDHE0QD&amp;keywords=tokina+firin+100mm+f2.8+fe&amp;qid=1559375443&amp;s=ce-de&amp;sprefix=tokina+firin+100,electronics,147&amp;sr=1-1&amp;linkCode=sl1&amp;tag=phillipreevede-21&amp;linkId=4c09b31d0be3bd64b2efe254f502e267&amp;language=de_DE" TargetMode="External"/><Relationship Id="rId54" Type="http://schemas.openxmlformats.org/officeDocument/2006/relationships/hyperlink" Target="https://amzn.to/2LRRbJ5" TargetMode="External"/><Relationship Id="rId96" Type="http://schemas.openxmlformats.org/officeDocument/2006/relationships/hyperlink" Target="https://www.bhphotovideo.com/c/product/1413350-REG/samyang_syio24af_e_af_24mm_f_2_8_fe.html/BI/19619/KBID/12129/kw/SASYIO24AFE/DFF/d10-v2-t1-xSASYIO24AFE" TargetMode="External"/><Relationship Id="rId161" Type="http://schemas.openxmlformats.org/officeDocument/2006/relationships/hyperlink" Target="https://amzn.to/2LRSMOS" TargetMode="External"/><Relationship Id="rId217" Type="http://schemas.openxmlformats.org/officeDocument/2006/relationships/hyperlink" Target="https://amzn.to/2SYEvAX" TargetMode="External"/><Relationship Id="rId259" Type="http://schemas.openxmlformats.org/officeDocument/2006/relationships/hyperlink" Target="http://rover.ebay.com/rover/1/711-53200-19255-0/1?icep_ff3=9&amp;pub=5575076376&amp;toolid=10001&amp;campid=5338164340&amp;customid=&amp;icep_uq=voigtlander+65+apo+sony&amp;icep_sellerId=&amp;icep_ex_kw=&amp;icep_sortBy=12&amp;icep_catId=3323&amp;icep_minPrice=&amp;icep_maxPrice=&amp;ipn=psmain&amp;icep_vectorid=229466&amp;kwid=902099&amp;mtid=824&amp;kw=lg" TargetMode="External"/><Relationship Id="rId23" Type="http://schemas.openxmlformats.org/officeDocument/2006/relationships/hyperlink" Target="https://amzn.to/31hwSIL" TargetMode="External"/><Relationship Id="rId119" Type="http://schemas.openxmlformats.org/officeDocument/2006/relationships/hyperlink" Target="https://phillipreeve.net/blog/rolling-review-carl-zeiss-vario-tessar-t-fe-424-70-za/" TargetMode="External"/><Relationship Id="rId270" Type="http://schemas.openxmlformats.org/officeDocument/2006/relationships/hyperlink" Target="http://amzn.to/2fbeX3x" TargetMode="External"/><Relationship Id="rId326" Type="http://schemas.openxmlformats.org/officeDocument/2006/relationships/hyperlink" Target="https://www.bhphotovideo.com/c/product/1418780-REG/voigtlander_ba349a_macro_apo_lanthar_110mm_f_2_5.html/BI/19619/KBID/12129/kw/VO11025/DFF/d10-v2-t1-xVO11025" TargetMode="External"/><Relationship Id="rId65" Type="http://schemas.openxmlformats.org/officeDocument/2006/relationships/hyperlink" Target="https://amzn.to/2GDurZb" TargetMode="External"/><Relationship Id="rId130" Type="http://schemas.openxmlformats.org/officeDocument/2006/relationships/hyperlink" Target="https://amzn.to/2OlyeAf" TargetMode="External"/><Relationship Id="rId172" Type="http://schemas.openxmlformats.org/officeDocument/2006/relationships/hyperlink" Target="https://www.bhphotovideo.com/c/product/1381712-REG/voigtlander_nokton_classic_35mm_f_1_4.html/BI/19619/KBID/12129/DFF/d10-v21-t1-x877353/SID/EZ" TargetMode="External"/><Relationship Id="rId228" Type="http://schemas.openxmlformats.org/officeDocument/2006/relationships/hyperlink" Target="https://www.bhphotovideo.com/c/product/1393493-REG/sigma_50mm_f_1_4_dg_hsm.html/BI/19619/KBID/12129/kw/SI5014SO/DFF/d10-v2-t1-xSI5014SO" TargetMode="External"/><Relationship Id="rId281" Type="http://schemas.openxmlformats.org/officeDocument/2006/relationships/hyperlink" Target="http://rover.ebay.com/rover/1/711-53200-19255-0/1?icep_ff3=9&amp;pub=5575076376&amp;toolid=10001&amp;campid=5338164340&amp;customid=&amp;icep_uq=sigma+85+1.4+sony&amp;icep_sellerId=&amp;icep_ex_kw=&amp;icep_sortBy=12&amp;icep_catId=3323&amp;icep_minPrice=&amp;icep_maxPrice=&amp;ipn=psmain&amp;icep_vectorid=229466&amp;kwid=902099&amp;mtid=824&amp;kw=lg" TargetMode="External"/><Relationship Id="rId337" Type="http://schemas.openxmlformats.org/officeDocument/2006/relationships/hyperlink" Target="https://amzn.to/319GJA4" TargetMode="External"/><Relationship Id="rId34" Type="http://schemas.openxmlformats.org/officeDocument/2006/relationships/hyperlink" Target="http://rover.ebay.com/rover/1/711-53200-19255-0/1?icep_ff3=10&amp;pub=5575076376&amp;toolid=10001&amp;campid=5338164340&amp;customid=&amp;icep_uq=sony+16-35+za+oss&amp;icep_sellerId=&amp;icep_ex_kw=&amp;icep_sortBy=12&amp;icep_catId=&amp;icep_minPrice=&amp;icep_maxPrice=&amp;ipn=psmain&amp;icep_vectorid=229466&amp;kwid=902099&amp;mtid=824&amp;kw=lg" TargetMode="External"/><Relationship Id="rId76" Type="http://schemas.openxmlformats.org/officeDocument/2006/relationships/hyperlink" Target="https://amzn.to/2yspzBm" TargetMode="External"/><Relationship Id="rId141" Type="http://schemas.openxmlformats.org/officeDocument/2006/relationships/hyperlink" Target="http://amzn.to/2wyLOCO" TargetMode="External"/><Relationship Id="rId7" Type="http://schemas.openxmlformats.org/officeDocument/2006/relationships/hyperlink" Target="http://rover.ebay.com/rover/1/711-53200-19255-0/1?icep_ff3=9&amp;pub=5575076376&amp;toolid=10001&amp;campid=5338573609&amp;customid=&amp;icep_uq=Voigtlander+Sony+10mm+5.6+&amp;icep_sellerId=&amp;icep_ex_kw=&amp;icep_sortBy=12&amp;icep_catId=3323&amp;icep_minPrice=&amp;icep_maxPrice=&amp;ipn=psmain&amp;icep_vectorid=229466&amp;kwid=902099&amp;mtid=824&amp;kw=lg" TargetMode="External"/><Relationship Id="rId183" Type="http://schemas.openxmlformats.org/officeDocument/2006/relationships/hyperlink" Target="https://amzn.to/2PiATLC" TargetMode="External"/><Relationship Id="rId239" Type="http://schemas.openxmlformats.org/officeDocument/2006/relationships/hyperlink" Target="https://docs.google.com/document/d/115s6JHR9S4pBUesKJEkgWeoP8rcGbT31p6fQSg5SFQM/edit?usp=sharing" TargetMode="External"/><Relationship Id="rId250" Type="http://schemas.openxmlformats.org/officeDocument/2006/relationships/hyperlink" Target="http://amzn.to/2vbknRN" TargetMode="External"/><Relationship Id="rId292" Type="http://schemas.openxmlformats.org/officeDocument/2006/relationships/hyperlink" Target="http://rover.ebay.com/rover/1/711-53200-19255-0/1?icep_ff3=9&amp;pub=5575076376&amp;toolid=10001&amp;campid=5338164340&amp;customid=&amp;icep_uq=batis+85mm+1.8+sony&amp;icep_sellerId=&amp;icep_ex_kw=&amp;icep_sortBy=12&amp;icep_catId=3323&amp;icep_minPrice=&amp;icep_maxPrice=&amp;ipn=psmain&amp;icep_vectorid=229466&amp;kwid=902099&amp;mtid=824&amp;kw=lg" TargetMode="External"/><Relationship Id="rId306" Type="http://schemas.openxmlformats.org/officeDocument/2006/relationships/hyperlink" Target="http://amzn.to/2vvvHcw" TargetMode="External"/><Relationship Id="rId45" Type="http://schemas.openxmlformats.org/officeDocument/2006/relationships/hyperlink" Target="https://amzn.to/2SRFBhL" TargetMode="External"/><Relationship Id="rId87" Type="http://schemas.openxmlformats.org/officeDocument/2006/relationships/hyperlink" Target="https://www.bhphotovideo.com/c/product/1435887-REG/sony_fe_24mm_f_1_4_gm.html/BI/19619/KBID/12129/DFF/d10-v21-t1-x915647/SID/EZ" TargetMode="External"/><Relationship Id="rId110" Type="http://schemas.openxmlformats.org/officeDocument/2006/relationships/hyperlink" Target="https://www.bhphotovideo.com/c/product/1516303-REG/sigma_24_70mm_f_2_8_dg_dn.html/BI/19619/KBID/12129/DFF/d10-v21-t1-x999330/SID/EZ" TargetMode="External"/><Relationship Id="rId152" Type="http://schemas.openxmlformats.org/officeDocument/2006/relationships/hyperlink" Target="http://amzn.to/2v2kiy9" TargetMode="External"/><Relationship Id="rId194" Type="http://schemas.openxmlformats.org/officeDocument/2006/relationships/hyperlink" Target="https://amzn.to/2LUF8sR" TargetMode="External"/><Relationship Id="rId208" Type="http://schemas.openxmlformats.org/officeDocument/2006/relationships/hyperlink" Target="https://www.bhphotovideo.com/c/product/1436292-REG/sigma_40mm_f_1_4_dg_hsm.html/BI/19619/KBID/12129/DFF/d10-v21-t1-x925196/SID/EZ" TargetMode="External"/><Relationship Id="rId261" Type="http://schemas.openxmlformats.org/officeDocument/2006/relationships/hyperlink" Target="https://www.bhphotovideo.com/c/product/1393483-REG/sigma_70mm_f_2_8_dg_macro.html/BI/19619/KBID/12129/DFF/d10-v21-t1-x895111/SID/EZ" TargetMode="External"/><Relationship Id="rId14" Type="http://schemas.openxmlformats.org/officeDocument/2006/relationships/hyperlink" Target="https://amzn.to/2SOWTvV" TargetMode="External"/><Relationship Id="rId35" Type="http://schemas.openxmlformats.org/officeDocument/2006/relationships/hyperlink" Target="https://amzn.to/2SR0IRl" TargetMode="External"/><Relationship Id="rId56" Type="http://schemas.openxmlformats.org/officeDocument/2006/relationships/hyperlink" Target="https://amzn.to/2GL8iYV" TargetMode="External"/><Relationship Id="rId77" Type="http://schemas.openxmlformats.org/officeDocument/2006/relationships/hyperlink" Target="https://www.bhphotovideo.com/c/product/1189220-REG/zeiss_2131_999_loxia_21mm_f_2_8_lens.html/BI/19619/KBID/12129/DFF/d10-v21-t1-x677077/SID/EZ" TargetMode="External"/><Relationship Id="rId100" Type="http://schemas.openxmlformats.org/officeDocument/2006/relationships/hyperlink" Target="https://amzn.to/34hgYPr" TargetMode="External"/><Relationship Id="rId282" Type="http://schemas.openxmlformats.org/officeDocument/2006/relationships/hyperlink" Target="https://amzn.to/2T0yJ1A" TargetMode="External"/><Relationship Id="rId317" Type="http://schemas.openxmlformats.org/officeDocument/2006/relationships/hyperlink" Target="https://amzn.to/2SZ0aZO" TargetMode="External"/><Relationship Id="rId338" Type="http://schemas.openxmlformats.org/officeDocument/2006/relationships/hyperlink" Target="https://www.bhphotovideo.com/c/product/1330083-REG/zeiss_2136_695_batis_135mm_f_2_8_lens.html/BI/19619/KBID/12129/DFF/d10-v21-t1-x814884/SID/EZ" TargetMode="External"/><Relationship Id="rId8" Type="http://schemas.openxmlformats.org/officeDocument/2006/relationships/hyperlink" Target="https://amzn.to/2SSzKc4" TargetMode="External"/><Relationship Id="rId98" Type="http://schemas.openxmlformats.org/officeDocument/2006/relationships/hyperlink" Target="http://rover.ebay.com/rover/1/711-53200-19255-0/1?icep_ff3=9&amp;pub=5575076376&amp;toolid=10001&amp;campid=5338573609&amp;customid=&amp;icep_uq=samyang+af+24mm+2.8+sony&amp;icep_sellerId=&amp;icep_ex_kw=&amp;icep_sortBy=12&amp;icep_catId=3323&amp;icep_minPrice=&amp;icep_maxPrice=&amp;ipn=psmain&amp;icep_vectorid=229466&amp;kwid=902099&amp;mtid=824&amp;kw=lg" TargetMode="External"/><Relationship Id="rId121" Type="http://schemas.openxmlformats.org/officeDocument/2006/relationships/hyperlink" Target="https://www.bhphotovideo.com/c/product/1008126-REG/sony_sel2470z_vario_tessar_t_fe_24_70mm.html/BI/19619/KBID/12129/DFF/d10-v21-t1-x466842/SID/EZ" TargetMode="External"/><Relationship Id="rId142" Type="http://schemas.openxmlformats.org/officeDocument/2006/relationships/hyperlink" Target="http://rover.ebay.com/rover/1/711-53200-19255-0/1?icep_ff3=10&amp;pub=5575076376&amp;toolid=10001&amp;campid=5338164340&amp;customid=&amp;icep_uq=sony+28+f2&amp;icep_sellerId=&amp;icep_ex_kw=&amp;icep_sortBy=12&amp;icep_catId=&amp;icep_minPrice=&amp;icep_maxPrice=&amp;ipn=psmain&amp;icep_vectorid=229466&amp;kwid=902099&amp;mtid=824&amp;kw=lg" TargetMode="External"/><Relationship Id="rId163" Type="http://schemas.openxmlformats.org/officeDocument/2006/relationships/hyperlink" Target="https://amzn.to/2ZmfSnX" TargetMode="External"/><Relationship Id="rId184" Type="http://schemas.openxmlformats.org/officeDocument/2006/relationships/hyperlink" Target="http://rover.ebay.com/rover/1/711-53200-19255-0/1?icep_ff3=9&amp;pub=5575076376&amp;toolid=10001&amp;campid=5338573609&amp;customid=&amp;icep_uq=sony+fe+35+1.8&amp;icep_sellerId=&amp;icep_ex_kw=&amp;icep_sortBy=12&amp;icep_catId=3323&amp;icep_minPrice=&amp;icep_maxPrice=&amp;ipn=psmain&amp;icep_vectorid=229466&amp;kwid=902099&amp;mtid=824&amp;kw=lg" TargetMode="External"/><Relationship Id="rId219" Type="http://schemas.openxmlformats.org/officeDocument/2006/relationships/hyperlink" Target="http://rover.ebay.com/rover/1/711-53200-19255-0/1?icep_ff3=9&amp;pub=5575076376&amp;toolid=10001&amp;campid=5338164340&amp;customid=&amp;icep_uq=sigma+45+2.8+sony&amp;icep_sellerId=&amp;icep_ex_kw=&amp;icep_sortBy=12&amp;icep_catId=3323&amp;icep_minPrice=&amp;icep_maxPrice=&amp;ipn=psmain&amp;icep_vectorid=229466&amp;kwid=902099&amp;mtid=824&amp;kw=lg" TargetMode="External"/><Relationship Id="rId230" Type="http://schemas.openxmlformats.org/officeDocument/2006/relationships/hyperlink" Target="http://rover.ebay.com/rover/1/711-53200-19255-0/1?icep_ff3=9&amp;pub=5575076376&amp;toolid=10001&amp;campid=5338164340&amp;customid=&amp;icep_uq=sigma+sony+art+50+1.4&amp;icep_sellerId=&amp;icep_ex_kw=&amp;icep_sortBy=12&amp;icep_catId=3323&amp;icep_minPrice=&amp;icep_maxPrice=&amp;ipn=psmain&amp;icep_vectorid=229466&amp;kwid=902099&amp;mtid=824&amp;kw=lg" TargetMode="External"/><Relationship Id="rId251" Type="http://schemas.openxmlformats.org/officeDocument/2006/relationships/hyperlink" Target="http://rover.ebay.com/rover/1/711-53200-19255-0/1?icep_ff3=10&amp;pub=5575076376&amp;toolid=10001&amp;campid=5338164340&amp;customid=&amp;icep_uq=sony+50+macro+fe&amp;icep_sellerId=&amp;icep_ex_kw=&amp;icep_sortBy=12&amp;icep_catId=&amp;icep_minPrice=&amp;icep_maxPrice=&amp;ipn=psmain&amp;icep_vectorid=229466&amp;kwid=902099&amp;mtid=824&amp;kw=lg" TargetMode="External"/><Relationship Id="rId25" Type="http://schemas.openxmlformats.org/officeDocument/2006/relationships/hyperlink" Target="https://phillipreeve.net/blog/review-voigtlander-15mm-4-5-e-super-wide-heliar/" TargetMode="External"/><Relationship Id="rId46" Type="http://schemas.openxmlformats.org/officeDocument/2006/relationships/hyperlink" Target="https://www.bhphotovideo.com/c/product/1243591-REG/zeiss_2136_691_batis_18mm_f_2_8_lens.html/BI/19619/KBID/12129/DFF/d10-v21-t1-x727488/SID/EZ" TargetMode="External"/><Relationship Id="rId67" Type="http://schemas.openxmlformats.org/officeDocument/2006/relationships/hyperlink" Target="https://amzn.to/2GJYCxw" TargetMode="External"/><Relationship Id="rId272" Type="http://schemas.openxmlformats.org/officeDocument/2006/relationships/hyperlink" Target="http://amzn.to/2vbFQKj" TargetMode="External"/><Relationship Id="rId293" Type="http://schemas.openxmlformats.org/officeDocument/2006/relationships/hyperlink" Target="https://amzn.to/2LVVOBV" TargetMode="External"/><Relationship Id="rId307" Type="http://schemas.openxmlformats.org/officeDocument/2006/relationships/hyperlink" Target="http://rover.ebay.com/rover/1/711-53200-19255-0/1?icep_ff3=10&amp;pub=5575076376&amp;toolid=10001&amp;campid=5338164340&amp;customid=&amp;icep_uq=sony+90+macro+oss&amp;icep_sellerId=&amp;icep_ex_kw=&amp;icep_sortBy=12&amp;icep_catId=&amp;icep_minPrice=&amp;icep_maxPrice=&amp;ipn=psmain&amp;icep_vectorid=229466&amp;kwid=902099&amp;mtid=824&amp;kw=lg" TargetMode="External"/><Relationship Id="rId328" Type="http://schemas.openxmlformats.org/officeDocument/2006/relationships/hyperlink" Target="https://phillipreeve.net/blog/review-sony-fe-135mm-f1-8-gm/" TargetMode="External"/><Relationship Id="rId88" Type="http://schemas.openxmlformats.org/officeDocument/2006/relationships/hyperlink" Target="https://amzn.to/2L2tV9y" TargetMode="External"/><Relationship Id="rId111" Type="http://schemas.openxmlformats.org/officeDocument/2006/relationships/hyperlink" Target="http://amzn.to/2fbX5FU" TargetMode="External"/><Relationship Id="rId132" Type="http://schemas.openxmlformats.org/officeDocument/2006/relationships/hyperlink" Target="https://amzn.to/2OlyeAf" TargetMode="External"/><Relationship Id="rId153" Type="http://schemas.openxmlformats.org/officeDocument/2006/relationships/hyperlink" Target="https://www.bhphotovideo.com/c/product/1082051-REG/sony_selp28135g_e_pz_28_135mm_f_4.html/BI/19619/KBID/12129/DFF/d10-v21-t1-x556056/SID/EZ" TargetMode="External"/><Relationship Id="rId174" Type="http://schemas.openxmlformats.org/officeDocument/2006/relationships/hyperlink" Target="http://rover.ebay.com/rover/1/711-53200-19255-0/1?icep_ff3=9&amp;pub=5575076376&amp;toolid=10001&amp;campid=5338573609&amp;customid=&amp;icep_uq=Voigtlander+Sony+35mm+1.4&amp;icep_sellerId=&amp;icep_ex_kw=&amp;icep_sortBy=12&amp;icep_catId=3323&amp;icep_minPrice=&amp;icep_maxPrice=&amp;ipn=psmain&amp;icep_vectorid=229466&amp;kwid=902099&amp;mtid=824&amp;kw=lg" TargetMode="External"/><Relationship Id="rId195" Type="http://schemas.openxmlformats.org/officeDocument/2006/relationships/hyperlink" Target="https://www.bhphotovideo.com/c/product/1512043-REG/tamron_f035_35mm_f_2_8_di_iii.html/BI/19619/KBID/12129/DFF/d10-v21-t1-x994972/SID/EZ" TargetMode="External"/><Relationship Id="rId209" Type="http://schemas.openxmlformats.org/officeDocument/2006/relationships/hyperlink" Target="http://rover.ebay.com/rover/1/711-53200-19255-0/1?icep_ff3=9&amp;pub=5575076376&amp;toolid=10001&amp;campid=5338164340&amp;customid=&amp;icep_uq=sigma+40+1.4+art+sony&amp;icep_sellerId=&amp;icep_ex_kw=&amp;icep_sortBy=12&amp;icep_catId=3323&amp;icep_minPrice=&amp;icep_maxPrice=&amp;ipn=psmain&amp;icep_vectorid=229466&amp;kwid=902099&amp;mtid=824&amp;kw=lg" TargetMode="External"/><Relationship Id="rId220" Type="http://schemas.openxmlformats.org/officeDocument/2006/relationships/hyperlink" Target="https://phillipreeve.net/blog/review-voigtlander-50mm-1-2-nokton-e/" TargetMode="External"/><Relationship Id="rId241" Type="http://schemas.openxmlformats.org/officeDocument/2006/relationships/hyperlink" Target="https://www.bhphotovideo.com/c/product/1526146-REG/voigtlander_apo_lanthar50_apo_lanthar_50mm_f_2_aspherical.html/BI/19619/KBID/12129/DFF/d10-v21-t1-x1008376/SID/EZ" TargetMode="External"/><Relationship Id="rId15" Type="http://schemas.openxmlformats.org/officeDocument/2006/relationships/hyperlink" Target="https://www.bhphotovideo.com/c/product/1393489-REG/sigma_14mm_f_1_8_dg_hsm.html/BI/19619/KBID/12129/DFF/d10-v21-t1-x881154/SID/EZ" TargetMode="External"/><Relationship Id="rId36" Type="http://schemas.openxmlformats.org/officeDocument/2006/relationships/hyperlink" Target="https://www.bhphotovideo.com/c/product/1338516-REG/sony_sel1635gm_fe_16_35mm_f_2_8_gm.html/BI/19619/KBID/12129/DFF/d10-v21-t1-x822837/SID/EZ" TargetMode="External"/><Relationship Id="rId57" Type="http://schemas.openxmlformats.org/officeDocument/2006/relationships/hyperlink" Target="http://rover.ebay.com/rover/1/711-53200-19255-0/1?icep_ff3=9&amp;pub=5575076376&amp;toolid=10001&amp;campid=5338573609&amp;customid=&amp;icep_uq=viltrox+20+1.8+sony&amp;icep_sellerId=&amp;icep_ex_kw=&amp;icep_sortBy=12&amp;icep_catId=3323&amp;icep_minPrice=&amp;icep_maxPrice=&amp;ipn=psmain&amp;icep_vectorid=229466&amp;kwid=902099&amp;mtid=824&amp;kw=lg" TargetMode="External"/><Relationship Id="rId262" Type="http://schemas.openxmlformats.org/officeDocument/2006/relationships/hyperlink" Target="http://rover.ebay.com/rover/1/711-53200-19255-0/1?icep_ff3=9&amp;pub=5575076376&amp;toolid=10001&amp;campid=5338164340&amp;customid=&amp;icep_uq=sigma+70+2.8+macro+sony&amp;icep_sellerId=&amp;icep_ex_kw=&amp;icep_sortBy=12&amp;icep_catId=3323&amp;icep_minPrice=&amp;icep_maxPrice=&amp;ipn=psmain&amp;icep_vectorid=229466&amp;kwid=902099&amp;mtid=824&amp;kw=lg" TargetMode="External"/><Relationship Id="rId283" Type="http://schemas.openxmlformats.org/officeDocument/2006/relationships/hyperlink" Target="https://www.bhphotovideo.com/c/product/1470654-REG/samyang_syio85af_e_af_85mm_f_1_4_lens.html/BI/19619/KBID/12129/DFF/d10-v21-t1-x955078/SID/EZ" TargetMode="External"/><Relationship Id="rId318" Type="http://schemas.openxmlformats.org/officeDocument/2006/relationships/hyperlink" Target="https://www.bhphotovideo.com/c/product/1333230-REG/sony_sel100400gm_fe_100_400mm_f_4_5_5_6_gm.html/BI/19619/KBID/12129/DFF/d10-v21-t1-x817745/SID/EZ" TargetMode="External"/><Relationship Id="rId339" Type="http://schemas.openxmlformats.org/officeDocument/2006/relationships/hyperlink" Target="http://rover.ebay.com/rover/1/711-53200-19255-0/1?icep_ff3=9&amp;pub=5575076376&amp;toolid=10001&amp;campid=5338164340&amp;customid=&amp;icep_uq=zeiss+batis+135+2.8&amp;icep_sellerId=&amp;icep_ex_kw=&amp;icep_sortBy=12&amp;icep_catId=3323&amp;icep_minPrice=&amp;icep_maxPrice=&amp;ipn=psmain&amp;icep_vectorid=229466&amp;kwid=902099&amp;mtid=824&amp;kw=lg" TargetMode="External"/><Relationship Id="rId78" Type="http://schemas.openxmlformats.org/officeDocument/2006/relationships/hyperlink" Target="https://amzn.to/2GHSOoA" TargetMode="External"/><Relationship Id="rId99" Type="http://schemas.openxmlformats.org/officeDocument/2006/relationships/hyperlink" Target="https://phillipreeve.net/blog/review-tamron-24mm-f-2-8-di-iii-osd-m12/" TargetMode="External"/><Relationship Id="rId101" Type="http://schemas.openxmlformats.org/officeDocument/2006/relationships/hyperlink" Target="https://www.bhphotovideo.com/c/product/1512042-REG/tamron_f051_24mm_f_2_8_di_iii.html/BI/19619/KBID/12129/DFF/d10-v21-t1-x994971/SID/EZ" TargetMode="External"/><Relationship Id="rId122" Type="http://schemas.openxmlformats.org/officeDocument/2006/relationships/hyperlink" Target="http://amzn.to/2fl1XZk" TargetMode="External"/><Relationship Id="rId143" Type="http://schemas.openxmlformats.org/officeDocument/2006/relationships/hyperlink" Target="https://phillipreeve.net/blog/review-tamron-28-75mm-f-2-8-di-iii-rxd-sony-e-mount/" TargetMode="External"/><Relationship Id="rId164" Type="http://schemas.openxmlformats.org/officeDocument/2006/relationships/hyperlink" Target="http://rover.ebay.com/rover/1/711-53200-19255-0/1?icep_ff3=9&amp;pub=5575076376&amp;toolid=10001&amp;campid=5338573609&amp;customid=&amp;icep_uq=sony+35+1.4+fe-a-mount&amp;icep_sellerId=&amp;icep_ex_kw=&amp;icep_sortBy=12&amp;icep_catId=3323&amp;icep_minPrice=&amp;icep_maxPrice=&amp;ipn=psmain&amp;icep_vectorid=229466&amp;kwid=902099&amp;mtid=824&amp;kw=lg" TargetMode="External"/><Relationship Id="rId185" Type="http://schemas.openxmlformats.org/officeDocument/2006/relationships/hyperlink" Target="https://phillipreeve.net/blog/review-zeiss-loxia-35mm-2-0/" TargetMode="External"/><Relationship Id="rId9" Type="http://schemas.openxmlformats.org/officeDocument/2006/relationships/hyperlink" Target="https://www.bhphotovideo.com/c/product/1338517-REG/sony_sel1224g_fe_12_24mm_f_4_g.html/BI/19619/KBID/12129/DFF/d10-v21-t1-x822838/SID/EZ" TargetMode="External"/><Relationship Id="rId210" Type="http://schemas.openxmlformats.org/officeDocument/2006/relationships/hyperlink" Target="https://phillipreeve.net/blog/review-zeiss-batis-2-40-cf/" TargetMode="External"/><Relationship Id="rId26" Type="http://schemas.openxmlformats.org/officeDocument/2006/relationships/hyperlink" Target="https://amzn.to/2YwplrQ" TargetMode="External"/><Relationship Id="rId231" Type="http://schemas.openxmlformats.org/officeDocument/2006/relationships/hyperlink" Target="https://amzn.to/2SY1Pyr" TargetMode="External"/><Relationship Id="rId252" Type="http://schemas.openxmlformats.org/officeDocument/2006/relationships/hyperlink" Target="https://phillipreeve.net/blog/sony-fe-1-855-za-sonnar-t-review/" TargetMode="External"/><Relationship Id="rId273" Type="http://schemas.openxmlformats.org/officeDocument/2006/relationships/hyperlink" Target="http://rover.ebay.com/rover/1/711-53200-19255-0/1?icep_ff3=10&amp;pub=5575076376&amp;toolid=10001&amp;campid=5338164340&amp;customid=&amp;icep_uq=sony+70-200+g+4&amp;icep_sellerId=&amp;icep_ex_kw=&amp;icep_sortBy=12&amp;icep_catId=&amp;icep_minPrice=&amp;icep_maxPrice=&amp;ipn=psmain&amp;icep_vectorid=229466&amp;kwid=902099&amp;mtid=824&amp;kw=lg" TargetMode="External"/><Relationship Id="rId294" Type="http://schemas.openxmlformats.org/officeDocument/2006/relationships/hyperlink" Target="http://rover.ebay.com/rover/1/711-53200-19255-0/1?icep_ff3=9&amp;pub=5575076376&amp;toolid=10001&amp;campid=5338164340&amp;customid=&amp;icep_uq=viltrox+85mm+1.8+sony+-stm&amp;icep_sellerId=&amp;icep_ex_kw=&amp;icep_sortBy=12&amp;icep_catId=3323&amp;icep_minPrice=&amp;icep_maxPrice=&amp;ipn=psmain&amp;icep_vectorid=229466&amp;kwid=902099&amp;mtid=824&amp;kw=lg" TargetMode="External"/><Relationship Id="rId308" Type="http://schemas.openxmlformats.org/officeDocument/2006/relationships/hyperlink" Target="https://phillipreeve.net/blog/review-sony-fe-100-f-2-8-stf-gm-oss-lens/" TargetMode="External"/><Relationship Id="rId329" Type="http://schemas.openxmlformats.org/officeDocument/2006/relationships/hyperlink" Target="https://amzn.to/2WtonMJ" TargetMode="External"/><Relationship Id="rId47" Type="http://schemas.openxmlformats.org/officeDocument/2006/relationships/hyperlink" Target="https://amzn.to/334PqNT" TargetMode="External"/><Relationship Id="rId68" Type="http://schemas.openxmlformats.org/officeDocument/2006/relationships/hyperlink" Target="http://rover.ebay.com/rover/1/711-53200-19255-0/1?icep_ff3=9&amp;pub=5575076376&amp;toolid=10001&amp;campid=5338573609&amp;customid=&amp;icep_uq=tokina+firin+20mm+af&amp;icep_sellerId=&amp;icep_ex_kw=&amp;icep_sortBy=12&amp;icep_catId=3323&amp;icep_minPrice=&amp;icep_maxPrice=&amp;ipn=psmain&amp;icep_vectorid=229466&amp;kwid=902099&amp;mtid=824&amp;kw=lg" TargetMode="External"/><Relationship Id="rId89" Type="http://schemas.openxmlformats.org/officeDocument/2006/relationships/hyperlink" Target="http://rover.ebay.com/rover/1/711-53200-19255-0/1?icep_ff3=9&amp;pub=5575076376&amp;toolid=10001&amp;campid=5338573609&amp;customid=&amp;icep_uq=sony+gm+24mm&amp;icep_sellerId=&amp;icep_ex_kw=&amp;icep_sortBy=12&amp;icep_catId=3323&amp;icep_minPrice=&amp;icep_maxPrice=&amp;ipn=psmain&amp;icep_vectorid=229466&amp;kwid=902099&amp;mtid=824&amp;kw=lg" TargetMode="External"/><Relationship Id="rId112" Type="http://schemas.openxmlformats.org/officeDocument/2006/relationships/hyperlink" Target="https://www.bhphotovideo.com/c/search?Ntt=sony%2024-240&amp;N=0&amp;InitialSearch=yes&amp;sts=ma&amp;Top+Nav-Search=&amp;BI=19619&amp;KBID=12129&amp;KWID=EZ" TargetMode="External"/><Relationship Id="rId133" Type="http://schemas.openxmlformats.org/officeDocument/2006/relationships/hyperlink" Target="http://rover.ebay.com/rover/1/711-53200-19255-0/1?icep_ff3=9&amp;pub=5575076376&amp;toolid=10001&amp;campid=5338573609&amp;customid=&amp;icep_uq=Zeiss+loxia+25mm&amp;icep_sellerId=&amp;icep_ex_kw=&amp;icep_sortBy=12&amp;icep_catId=3323&amp;icep_minPrice=&amp;icep_maxPrice=&amp;ipn=psmain&amp;icep_vectorid=229466&amp;kwid=902099&amp;mtid=824&amp;kw=lg" TargetMode="External"/><Relationship Id="rId154" Type="http://schemas.openxmlformats.org/officeDocument/2006/relationships/hyperlink" Target="http://amzn.to/2wlpg9b" TargetMode="External"/><Relationship Id="rId175" Type="http://schemas.openxmlformats.org/officeDocument/2006/relationships/hyperlink" Target="https://phillipreeve.net/blog/review-sigma-35mm-1-4-art/" TargetMode="External"/><Relationship Id="rId340" Type="http://schemas.openxmlformats.org/officeDocument/2006/relationships/hyperlink" Target="https://www.bhphotovideo.com/c/product/1485540-REG/sony_sel200600g_fe_200_600mm_f_5_6_6_3_g.html/BI/19619/KBID/12129/DFF/d10-v21-t1-x968882/SID/EZ" TargetMode="External"/><Relationship Id="rId196" Type="http://schemas.openxmlformats.org/officeDocument/2006/relationships/hyperlink" Target="https://amzn.to/36BcBQO" TargetMode="External"/><Relationship Id="rId200" Type="http://schemas.openxmlformats.org/officeDocument/2006/relationships/hyperlink" Target="https://amzn.to/2rM4SRk" TargetMode="External"/><Relationship Id="rId16" Type="http://schemas.openxmlformats.org/officeDocument/2006/relationships/hyperlink" Target="https://amzn.to/2ZDl4QJ" TargetMode="External"/><Relationship Id="rId221" Type="http://schemas.openxmlformats.org/officeDocument/2006/relationships/hyperlink" Target="https://amzn.to/2OAfE7N" TargetMode="External"/><Relationship Id="rId242" Type="http://schemas.openxmlformats.org/officeDocument/2006/relationships/hyperlink" Target="https://phillipreeve.net/blog/review-zeiss-loxia-planar-250-t/" TargetMode="External"/><Relationship Id="rId263" Type="http://schemas.openxmlformats.org/officeDocument/2006/relationships/hyperlink" Target="https://amzn.to/2KbaJGn" TargetMode="External"/><Relationship Id="rId284" Type="http://schemas.openxmlformats.org/officeDocument/2006/relationships/hyperlink" Target="http://rover.ebay.com/rover/1/711-53200-19255-0/1?icep_ff3=9&amp;pub=5575076376&amp;toolid=10001&amp;campid=5338164340&amp;customid=&amp;icep_uq=samyang+85+1.4+sony+af&amp;icep_sellerId=&amp;icep_ex_kw=&amp;icep_sortBy=12&amp;icep_catId=3323&amp;icep_minPrice=&amp;icep_maxPrice=&amp;ipn=psmain&amp;icep_vectorid=229466&amp;kwid=902099&amp;mtid=824&amp;kw=lg" TargetMode="External"/><Relationship Id="rId319" Type="http://schemas.openxmlformats.org/officeDocument/2006/relationships/hyperlink" Target="http://rover.ebay.com/rover/1/711-53200-19255-0/1?icep_ff3=9&amp;pub=5575076376&amp;toolid=10001&amp;campid=5338164340&amp;customid=&amp;icep_uq=sony+gm+100-400&amp;icep_sellerId=&amp;icep_ex_kw=&amp;icep_sortBy=12&amp;icep_catId=3323&amp;icep_minPrice=&amp;icep_maxPrice=&amp;ipn=psmain&amp;icep_vectorid=229466&amp;kwid=902099&amp;mtid=824&amp;kw=lg" TargetMode="External"/><Relationship Id="rId37" Type="http://schemas.openxmlformats.org/officeDocument/2006/relationships/hyperlink" Target="https://amzn.to/2T1ZxOU" TargetMode="External"/><Relationship Id="rId58" Type="http://schemas.openxmlformats.org/officeDocument/2006/relationships/hyperlink" Target="https://amzn.to/2wBkbOW" TargetMode="External"/><Relationship Id="rId79" Type="http://schemas.openxmlformats.org/officeDocument/2006/relationships/hyperlink" Target="http://rover.ebay.com/rover/1/711-53200-19255-0/1?icep_ff3=9&amp;pub=5575076376&amp;toolid=10001&amp;campid=5338573609&amp;customid=&amp;icep_uq=Loxia+21mm&amp;icep_sellerId=&amp;icep_ex_kw=&amp;icep_sortBy=12&amp;icep_catId=3323&amp;icep_minPrice=&amp;icep_maxPrice=&amp;ipn=psmain&amp;icep_vectorid=229466&amp;kwid=902099&amp;mtid=824&amp;kw=lg" TargetMode="External"/><Relationship Id="rId102" Type="http://schemas.openxmlformats.org/officeDocument/2006/relationships/hyperlink" Target="https://amzn.to/38yg1G1" TargetMode="External"/><Relationship Id="rId123" Type="http://schemas.openxmlformats.org/officeDocument/2006/relationships/hyperlink" Target="http://rover.ebay.com/rover/1/711-53200-19255-0/1?icep_ff3=10&amp;pub=5575076376&amp;toolid=10001&amp;campid=5338164340&amp;customid=&amp;icep_uq=sony+24-70+za&amp;icep_sellerId=&amp;icep_ex_kw=&amp;icep_sortBy=12&amp;icep_catId=&amp;icep_minPrice=&amp;icep_maxPrice=&amp;ipn=psmain&amp;icep_vectorid=229466&amp;kwid=902099&amp;mtid=824&amp;kw=lg" TargetMode="External"/><Relationship Id="rId144" Type="http://schemas.openxmlformats.org/officeDocument/2006/relationships/hyperlink" Target="https://amzn.to/2ST5uxq" TargetMode="External"/><Relationship Id="rId330" Type="http://schemas.openxmlformats.org/officeDocument/2006/relationships/hyperlink" Target="https://www.bhphotovideo.com/c/product/1393495-REG/sigma_135mm_f_1_8_dg_hsm.html/BI/19619/KBID/12129/kw/SI13518SO/DFF/d10-v2-t1-xSI13518SO" TargetMode="External"/><Relationship Id="rId90" Type="http://schemas.openxmlformats.org/officeDocument/2006/relationships/hyperlink" Target="https://amzn.to/2Isw2Rv" TargetMode="External"/><Relationship Id="rId165" Type="http://schemas.openxmlformats.org/officeDocument/2006/relationships/hyperlink" Target="https://phillipreeve.net/blog/review-samyang-af-35-1-4-fe/" TargetMode="External"/><Relationship Id="rId186" Type="http://schemas.openxmlformats.org/officeDocument/2006/relationships/hyperlink" Target="https://amzn.to/2T2sJWe" TargetMode="External"/><Relationship Id="rId211" Type="http://schemas.openxmlformats.org/officeDocument/2006/relationships/hyperlink" Target="https://amzn.to/2LUN0MF" TargetMode="External"/><Relationship Id="rId232" Type="http://schemas.openxmlformats.org/officeDocument/2006/relationships/hyperlink" Target="https://www.bhphotovideo.com/c/product/1352862-REG/samyang_syio50af_e_50mm_f_1_4_auto_focus.html/BI/19619/KBID/12129/DFF/d10-v21-t1-x837927/SID/EZ" TargetMode="External"/><Relationship Id="rId253" Type="http://schemas.openxmlformats.org/officeDocument/2006/relationships/hyperlink" Target="https://amzn.to/2ywdgEk" TargetMode="External"/><Relationship Id="rId274" Type="http://schemas.openxmlformats.org/officeDocument/2006/relationships/hyperlink" Target="https://phillipreeve.net/blog/review-sony-fe-85mm-1-4-gm/" TargetMode="External"/><Relationship Id="rId295" Type="http://schemas.openxmlformats.org/officeDocument/2006/relationships/hyperlink" Target="https://phillipreeve.net/blog/review-viltrox-85-mm-f-1-8-stm-af-pfu-rbmh/" TargetMode="External"/><Relationship Id="rId309" Type="http://schemas.openxmlformats.org/officeDocument/2006/relationships/hyperlink" Target="https://amzn.to/2YD8rn4" TargetMode="External"/><Relationship Id="rId27" Type="http://schemas.openxmlformats.org/officeDocument/2006/relationships/hyperlink" Target="https://www.bhphotovideo.com/c/product/1219549-REG/voigtlander_ba329b_super_wide_heliar_15mm_f_4_5.html/BI/19619/KBID/12129/DFF/d10-v21-t1-x618202/SID/EZ" TargetMode="External"/><Relationship Id="rId48" Type="http://schemas.openxmlformats.org/officeDocument/2006/relationships/hyperlink" Target="http://rover.ebay.com/rover/1/711-53200-19255-0/1?icep_ff3=9&amp;pub=5575076376&amp;toolid=10001&amp;campid=5338573609&amp;customid=&amp;icep_uq=batis+18+2.8&amp;icep_sellerId=&amp;icep_ex_kw=&amp;icep_sortBy=12&amp;icep_catId=3323&amp;icep_minPrice=&amp;icep_maxPrice=&amp;ipn=psmain&amp;icep_vectorid=229466&amp;kwid=902099&amp;mtid=824&amp;kw=lg" TargetMode="External"/><Relationship Id="rId69" Type="http://schemas.openxmlformats.org/officeDocument/2006/relationships/hyperlink" Target="https://www.bhphotovideo.com/c/product/1512041-REG/tamron_f050_20mm_f_2_8_di_iii.html/BI/19619/KBID/12129/DFF/d10-v21-t1-x994970/SID/EZ" TargetMode="External"/><Relationship Id="rId113" Type="http://schemas.openxmlformats.org/officeDocument/2006/relationships/hyperlink" Target="http://amzn.to/2wyrL7A" TargetMode="External"/><Relationship Id="rId134" Type="http://schemas.openxmlformats.org/officeDocument/2006/relationships/hyperlink" Target="https://amzn.to/2Wn0pxO" TargetMode="External"/><Relationship Id="rId320" Type="http://schemas.openxmlformats.org/officeDocument/2006/relationships/hyperlink" Target="https://amzn.to/2EWeThZ" TargetMode="External"/><Relationship Id="rId80" Type="http://schemas.openxmlformats.org/officeDocument/2006/relationships/hyperlink" Target="https://phillipreeve.net/blog/voigtlander-21mm-f35-review/" TargetMode="External"/><Relationship Id="rId155" Type="http://schemas.openxmlformats.org/officeDocument/2006/relationships/hyperlink" Target="http://rover.ebay.com/rover/1/711-53200-19255-0/1?icep_ff3=10&amp;pub=5575076376&amp;toolid=10001&amp;campid=5338164340&amp;customid=&amp;icep_uq=sony+28-135&amp;icep_sellerId=&amp;icep_ex_kw=&amp;icep_sortBy=12&amp;icep_catId=&amp;icep_minPrice=&amp;icep_maxPrice=&amp;ipn=psmain&amp;icep_vectorid=229466&amp;kwid=902099&amp;mtid=824&amp;kw=lg" TargetMode="External"/><Relationship Id="rId176" Type="http://schemas.openxmlformats.org/officeDocument/2006/relationships/hyperlink" Target="https://amzn.to/2LOaQcZ" TargetMode="External"/><Relationship Id="rId197" Type="http://schemas.openxmlformats.org/officeDocument/2006/relationships/hyperlink" Target="http://rover.ebay.com/rover/1/711-53200-19255-0/1?icep_ff3=9&amp;pub=5575076376&amp;toolid=10001&amp;campid=5338573609&amp;customid=&amp;icep_uq=tamron+35+2.8+osd+&amp;icep_sellerId=&amp;icep_ex_kw=&amp;icep_sortBy=12&amp;icep_catId=3323&amp;icep_minPrice=&amp;icep_maxPrice=&amp;ipn=psmain&amp;icep_vectorid=229466&amp;kwid=902099&amp;mtid=824&amp;kw=lg" TargetMode="External"/><Relationship Id="rId341" Type="http://schemas.openxmlformats.org/officeDocument/2006/relationships/hyperlink" Target="http://rover.ebay.com/rover/1/711-53200-19255-0/1?icep_ff3=9&amp;pub=5575076376&amp;toolid=10001&amp;campid=5338164340&amp;customid=&amp;icep_uq=sony+200-600&amp;icep_sellerId=&amp;icep_ex_kw=&amp;icep_sortBy=12&amp;icep_catId=3323&amp;icep_minPrice=&amp;icep_maxPrice=&amp;ipn=psmain&amp;icep_vectorid=229466&amp;kwid=902099&amp;mtid=824&amp;kw=lg" TargetMode="External"/><Relationship Id="rId201" Type="http://schemas.openxmlformats.org/officeDocument/2006/relationships/hyperlink" Target="http://rover.ebay.com/rover/1/711-53200-19255-0/1?icep_ff3=9&amp;pub=5575076376&amp;toolid=10001&amp;campid=5338573609&amp;customid=&amp;icep_uq=samyang+35+2.8+&amp;icep_sellerId=&amp;icep_ex_kw=&amp;icep_sortBy=12&amp;icep_catId=3323&amp;icep_minPrice=&amp;icep_maxPrice=&amp;ipn=psmain&amp;icep_vectorid=229466&amp;kwid=902099&amp;mtid=824&amp;kw=lg" TargetMode="External"/><Relationship Id="rId222" Type="http://schemas.openxmlformats.org/officeDocument/2006/relationships/hyperlink" Target="https://www.bhphotovideo.com/c/product/1433349-REG/voigtlander_ba348a_nokton_50mm_f_1_2_aspherical.html/BI/19619/KBID/12129/DFF/d10-v21-t1-x915623/SID/EZ" TargetMode="External"/><Relationship Id="rId243" Type="http://schemas.openxmlformats.org/officeDocument/2006/relationships/hyperlink" Target="http://amzn.to/2faVsIu" TargetMode="External"/><Relationship Id="rId264" Type="http://schemas.openxmlformats.org/officeDocument/2006/relationships/hyperlink" Target="https://www.bhphotovideo.com/c/product/1222776-REG/sony_sel70200gm_fe_70_200mm_f_2_8_gm.html/BI/19619/KBID/12129/DFF/d10-v21-t1-x746807/SID/EZ" TargetMode="External"/><Relationship Id="rId285" Type="http://schemas.openxmlformats.org/officeDocument/2006/relationships/hyperlink" Target="https://phillipreeve.net/blog/review-sony-fe-85-mm-1-8/" TargetMode="External"/><Relationship Id="rId17" Type="http://schemas.openxmlformats.org/officeDocument/2006/relationships/hyperlink" Target="http://rover.ebay.com/rover/1/711-53200-19255-0/1?icep_ff3=9&amp;pub=5575076376&amp;toolid=10001&amp;campid=5338573609&amp;customid=&amp;icep_uq=sigma+14+1.8+sony&amp;icep_sellerId=&amp;icep_ex_kw=&amp;icep_sortBy=12&amp;icep_catId=3323&amp;icep_minPrice=&amp;icep_maxPrice=&amp;ipn=psmain&amp;icep_vectorid=229466&amp;kwid=902099&amp;mtid=824&amp;kw=lg" TargetMode="External"/><Relationship Id="rId38" Type="http://schemas.openxmlformats.org/officeDocument/2006/relationships/hyperlink" Target="http://rover.ebay.com/rover/1/711-53200-19255-0/1?icep_ff3=9&amp;pub=5575076376&amp;toolid=10001&amp;campid=5338573609&amp;customid=&amp;icep_uq=sony+gm+16-35&amp;icep_sellerId=&amp;icep_ex_kw=&amp;icep_sortBy=12&amp;icep_catId=3323&amp;icep_minPrice=&amp;icep_maxPrice=&amp;ipn=psmain&amp;icep_vectorid=229466&amp;kwid=902099&amp;mtid=824&amp;kw=lg" TargetMode="External"/><Relationship Id="rId59" Type="http://schemas.openxmlformats.org/officeDocument/2006/relationships/hyperlink" Target="https://www.bhphotovideo.com/c/product/1549627-REG/sony_sel20f18g_fe_20mm_f_1_8_g.html/BI/19619/KBID/12129/DFF/d10-v21-t1-x1029561/SID/EZ" TargetMode="External"/><Relationship Id="rId103" Type="http://schemas.openxmlformats.org/officeDocument/2006/relationships/hyperlink" Target="http://rover.ebay.com/rover/1/711-53200-19255-0/1?icep_ff3=9&amp;pub=5575076376&amp;toolid=10001&amp;campid=5338573609&amp;customid=&amp;icep_uq=tamron+24+2.8+osd+&amp;icep_sellerId=&amp;icep_ex_kw=&amp;icep_sortBy=12&amp;icep_catId=3323&amp;icep_minPrice=&amp;icep_maxPrice=&amp;ipn=psmain&amp;icep_vectorid=229466&amp;kwid=902099&amp;mtid=824&amp;kw=lg" TargetMode="External"/><Relationship Id="rId124" Type="http://schemas.openxmlformats.org/officeDocument/2006/relationships/hyperlink" Target="https://phillipreeve.net/blog/review-zeiss-batis-distagon-t-25mm-f2/" TargetMode="External"/><Relationship Id="rId310" Type="http://schemas.openxmlformats.org/officeDocument/2006/relationships/hyperlink" Target="https://www.bhphotovideo.com/c/product/1317561-REG/sony_sel100f28gm_fe_100mm_f_2_8_stf.html/BI/19619/KBID/12129/DFF/d10-v21-t1-x795192/SID/EZ" TargetMode="External"/><Relationship Id="rId70" Type="http://schemas.openxmlformats.org/officeDocument/2006/relationships/hyperlink" Target="http://rover.ebay.com/rover/1/711-53200-19255-0/1?icep_ff3=9&amp;pub=5575076376&amp;toolid=10001&amp;campid=5338573609&amp;customid=&amp;icep_uq=tamron+20+2.8+osd+&amp;icep_sellerId=&amp;icep_ex_kw=&amp;icep_sortBy=12&amp;icep_catId=3323&amp;icep_minPrice=&amp;icep_maxPrice=&amp;ipn=psmain&amp;icep_vectorid=229466&amp;kwid=902099&amp;mtid=824&amp;kw=lg" TargetMode="External"/><Relationship Id="rId91" Type="http://schemas.openxmlformats.org/officeDocument/2006/relationships/hyperlink" Target="https://www.bhphotovideo.com/c/product/1393491-REG/sigma_24mm_f_1_4_dg_hsm.html/BI/19619/KBID/12129/kw/SI2414SO/DFF/d10-v2-t1-xSI2414SO" TargetMode="External"/><Relationship Id="rId145" Type="http://schemas.openxmlformats.org/officeDocument/2006/relationships/hyperlink" Target="https://www.bhphotovideo.com/c/product/1393332-REG/tamron_a036_28_75mm_f_2_8_di_iii.html/BI/19619/KBID/12129/DFF/d10-v21-t1-x892059/SID/EZ" TargetMode="External"/><Relationship Id="rId166" Type="http://schemas.openxmlformats.org/officeDocument/2006/relationships/hyperlink" Target="https://amzn.to/2K8DDXH" TargetMode="External"/><Relationship Id="rId187" Type="http://schemas.openxmlformats.org/officeDocument/2006/relationships/hyperlink" Target="https://www.bhphotovideo.com/c/product/1080388-REG/zeiss_2103_749_loxia_35mm_f_2_biogon.html/BI/19619/KBID/12129/DFF/d10-v21-t1-x553792/SID/EZ" TargetMode="External"/><Relationship Id="rId331" Type="http://schemas.openxmlformats.org/officeDocument/2006/relationships/hyperlink" Target="https://amzn.to/2Z9KKDE" TargetMode="External"/><Relationship Id="rId1" Type="http://schemas.openxmlformats.org/officeDocument/2006/relationships/hyperlink" Target="http://amazon.com/" TargetMode="External"/><Relationship Id="rId212" Type="http://schemas.openxmlformats.org/officeDocument/2006/relationships/hyperlink" Target="https://www.bhphotovideo.com/c/product/1436738-REG/zeiss_000000_2239_137_batis_40mm_f_2_cf.html/BI/19619/KBID/12129/DFF/d10-v21-t1-x915694/SID/EZ" TargetMode="External"/><Relationship Id="rId233" Type="http://schemas.openxmlformats.org/officeDocument/2006/relationships/hyperlink" Target="http://rover.ebay.com/rover/1/711-53200-19255-0/1?icep_ff3=9&amp;pub=5575076376&amp;toolid=10001&amp;campid=5338164340&amp;customid=&amp;icep_uq=samyang+50+1.4+sony+af&amp;icep_sellerId=&amp;icep_ex_kw=&amp;icep_sortBy=12&amp;icep_catId=3323&amp;icep_minPrice=&amp;icep_maxPrice=&amp;ipn=psmain&amp;icep_vectorid=229466&amp;kwid=902099&amp;mtid=824&amp;kw=lg" TargetMode="External"/><Relationship Id="rId254" Type="http://schemas.openxmlformats.org/officeDocument/2006/relationships/hyperlink" Target="https://www.bhphotovideo.com/c/product/1008124-REG/sony_sel55f18z_sonnar_t_fe_55mm.html/BI/19619/KBID/12129/DFF/d10-v21-t1-x466841/SID/EZ" TargetMode="External"/><Relationship Id="rId28" Type="http://schemas.openxmlformats.org/officeDocument/2006/relationships/hyperlink" Target="https://amzn.to/2ZpTKt5" TargetMode="External"/><Relationship Id="rId49" Type="http://schemas.openxmlformats.org/officeDocument/2006/relationships/hyperlink" Target="https://www.bhphotovideo.com/c/product/1503295-REG/samyang_syio18af_e_af_18mm_f_2_8_fe.html/BI/19619/KBID/12129/DFF/d10-v21-t1-x985623/SID/EZ" TargetMode="External"/><Relationship Id="rId114" Type="http://schemas.openxmlformats.org/officeDocument/2006/relationships/hyperlink" Target="http://rover.ebay.com/rover/1/711-53200-19255-0/1?icep_ff3=10&amp;pub=5575076376&amp;toolid=10001&amp;campid=5338164340&amp;customid=&amp;icep_uq=sony+24-240&amp;icep_sellerId=&amp;icep_ex_kw=&amp;icep_sortBy=12&amp;icep_catId=&amp;icep_minPrice=&amp;icep_maxPrice=&amp;ipn=psmain&amp;icep_vectorid=229466&amp;kwid=902099&amp;mtid=824&amp;kw=lg" TargetMode="External"/><Relationship Id="rId275" Type="http://schemas.openxmlformats.org/officeDocument/2006/relationships/hyperlink" Target="https://amzn.to/2SZeKAh" TargetMode="External"/><Relationship Id="rId296" Type="http://schemas.openxmlformats.org/officeDocument/2006/relationships/hyperlink" Target="https://amzn.to/2SZfd5v" TargetMode="External"/><Relationship Id="rId300" Type="http://schemas.openxmlformats.org/officeDocument/2006/relationships/hyperlink" Target="https://amzn.to/2SY4PLd" TargetMode="External"/><Relationship Id="rId60" Type="http://schemas.openxmlformats.org/officeDocument/2006/relationships/hyperlink" Target="https://phillipreeve.net/blog/tokina-firin-20mm-f2-fe-review-a-good-deal/" TargetMode="External"/><Relationship Id="rId81" Type="http://schemas.openxmlformats.org/officeDocument/2006/relationships/hyperlink" Target="https://amzn.to/2JCie75" TargetMode="External"/><Relationship Id="rId135" Type="http://schemas.openxmlformats.org/officeDocument/2006/relationships/hyperlink" Target="https://www.bhphotovideo.com/c/product/1436285-REG/sigma_28mm_f_1_4_dg_hsm.html/BI/19619/KBID/12129/kw/SI2814DGSE/DFF/d10-v2-t1-xSI2814DGSE" TargetMode="External"/><Relationship Id="rId156" Type="http://schemas.openxmlformats.org/officeDocument/2006/relationships/hyperlink" Target="https://phillipreeve.net/blog/review-sigma-35mm-1-2-art-dg-dn/" TargetMode="External"/><Relationship Id="rId177" Type="http://schemas.openxmlformats.org/officeDocument/2006/relationships/hyperlink" Target="https://www.bhphotovideo.com/c/product/1393492-REG/sigma_35mm_f_1_4_dg_hsm.html/BI/19619/KBID/12129/DFF/d10-v21-t1-x881157/SID/EZ" TargetMode="External"/><Relationship Id="rId198" Type="http://schemas.openxmlformats.org/officeDocument/2006/relationships/hyperlink" Target="https://amzn.to/2MGKrxp" TargetMode="External"/><Relationship Id="rId321" Type="http://schemas.openxmlformats.org/officeDocument/2006/relationships/hyperlink" Target="https://www.bhphotovideo.com/c/product/1393488-REG/sigma_105mm_f_1_4_dg_hsm.html/BI/19619/KBID/12129/kw/SI10514SO/DFF/d10-v2-t1-xSI10514SO" TargetMode="External"/><Relationship Id="rId342" Type="http://schemas.openxmlformats.org/officeDocument/2006/relationships/hyperlink" Target="https://www.bhphotovideo.com/c/product/1369634-REG/sony_fe_400mm_f_2_8_gm.html/BI/19619/KBID/12129/DFF/d10-v21-t1-x905722/SID/EZ" TargetMode="External"/><Relationship Id="rId202" Type="http://schemas.openxmlformats.org/officeDocument/2006/relationships/hyperlink" Target="https://phillipreeve.net/blog/voigtlander-40mm-f1-2-nokton-aspherical-rolling-review/" TargetMode="External"/><Relationship Id="rId223" Type="http://schemas.openxmlformats.org/officeDocument/2006/relationships/hyperlink" Target="http://rover.ebay.com/rover/1/711-53200-19255-0/1?icep_ff3=9&amp;pub=5575076376&amp;toolid=10001&amp;campid=5338164340&amp;customid=&amp;icep_uq=voigtlander+sony+50+1.2&amp;icep_sellerId=&amp;icep_ex_kw=&amp;icep_sortBy=12&amp;icep_catId=3323&amp;icep_minPrice=&amp;icep_maxPrice=&amp;ipn=psmain&amp;icep_vectorid=229466&amp;kwid=902099&amp;mtid=824&amp;kw=lg" TargetMode="External"/><Relationship Id="rId244" Type="http://schemas.openxmlformats.org/officeDocument/2006/relationships/hyperlink" Target="https://www.bhphotovideo.com/c/product/1080387-REG/zeiss_2103_748_loxia_50mm_f_2_planar.html/BI/19619/KBID/12129/kw/ZE502LFE/DFF/d10-v2-t1-xZE502LFE" TargetMode="External"/><Relationship Id="rId18" Type="http://schemas.openxmlformats.org/officeDocument/2006/relationships/hyperlink" Target="https://amzn.to/2zt8rMC" TargetMode="External"/><Relationship Id="rId39" Type="http://schemas.openxmlformats.org/officeDocument/2006/relationships/hyperlink" Target="https://phillipreeve.net/blog/review-tamron-17-28mm-f-2-8-di-iii-rxd/" TargetMode="External"/><Relationship Id="rId265" Type="http://schemas.openxmlformats.org/officeDocument/2006/relationships/hyperlink" Target="http://rover.ebay.com/rover/1/711-53200-19255-0/1?icep_ff3=9&amp;pub=5575076376&amp;toolid=10001&amp;campid=5338164340&amp;customid=&amp;icep_uq=sony+gm+70-200&amp;icep_sellerId=&amp;icep_ex_kw=&amp;icep_sortBy=12&amp;icep_catId=3323&amp;icep_minPrice=&amp;icep_maxPrice=&amp;ipn=psmain&amp;icep_vectorid=229466&amp;kwid=902099&amp;mtid=824&amp;kw=lg" TargetMode="External"/><Relationship Id="rId286" Type="http://schemas.openxmlformats.org/officeDocument/2006/relationships/hyperlink" Target="https://amzn.to/2YB4RxU" TargetMode="External"/><Relationship Id="rId50" Type="http://schemas.openxmlformats.org/officeDocument/2006/relationships/hyperlink" Target="https://amzn.to/2K4J7nh" TargetMode="External"/><Relationship Id="rId104" Type="http://schemas.openxmlformats.org/officeDocument/2006/relationships/hyperlink" Target="https://phillipreeve.net/blog/review-sony-fe-2-824-70mm-gm/" TargetMode="External"/><Relationship Id="rId125" Type="http://schemas.openxmlformats.org/officeDocument/2006/relationships/hyperlink" Target="https://amzn.to/2ypHQiT" TargetMode="External"/><Relationship Id="rId146" Type="http://schemas.openxmlformats.org/officeDocument/2006/relationships/hyperlink" Target="https://amzn.to/2ZmSzdU" TargetMode="External"/><Relationship Id="rId167" Type="http://schemas.openxmlformats.org/officeDocument/2006/relationships/hyperlink" Target="https://www.bhphotovideo.com/c/product/1373698-REG/samyang_syio3514_e_35mm_f1_4_auto_focus.html/BI/19619/KBID/12129/DFF/d10-v21-t1-x858016/SID/EZ" TargetMode="External"/><Relationship Id="rId188" Type="http://schemas.openxmlformats.org/officeDocument/2006/relationships/hyperlink" Target="http://rover.ebay.com/rover/1/711-53200-19255-0/1?icep_ff3=9&amp;pub=5575076376&amp;toolid=10001&amp;campid=5338573609&amp;customid=&amp;icep_uq=loxia+35&amp;icep_sellerId=&amp;icep_ex_kw=&amp;icep_sortBy=12&amp;icep_catId=3323&amp;icep_minPrice=&amp;icep_maxPrice=&amp;ipn=psmain&amp;icep_vectorid=229466&amp;kwid=902099&amp;mtid=824&amp;kw=lg" TargetMode="External"/><Relationship Id="rId311" Type="http://schemas.openxmlformats.org/officeDocument/2006/relationships/hyperlink" Target="http://rover.ebay.com/rover/1/711-53200-19255-0/1?icep_ff3=9&amp;pub=5575076376&amp;toolid=10001&amp;campid=5338164340&amp;customid=&amp;icep_uq=sony+gm+stf+100&amp;icep_sellerId=&amp;icep_ex_kw=&amp;icep_sortBy=12&amp;icep_catId=3323&amp;icep_minPrice=&amp;icep_maxPrice=&amp;ipn=psmain&amp;icep_vectorid=229466&amp;kwid=902099&amp;mtid=824&amp;kw=lg" TargetMode="External"/><Relationship Id="rId332" Type="http://schemas.openxmlformats.org/officeDocument/2006/relationships/hyperlink" Target="http://rover.ebay.com/rover/1/711-53200-19255-0/1?icep_ff3=9&amp;pub=5575076376&amp;toolid=10001&amp;campid=5338164340&amp;customid=&amp;icep_uq=sony+gm+135+&amp;icep_sellerId=&amp;icep_ex_kw=&amp;icep_sortBy=12&amp;icep_catId=3323&amp;icep_minPrice=&amp;icep_maxPrice=&amp;ipn=psmain&amp;icep_vectorid=229466&amp;kwid=902099&amp;mtid=824&amp;kw=lg" TargetMode="External"/><Relationship Id="rId71" Type="http://schemas.openxmlformats.org/officeDocument/2006/relationships/hyperlink" Target="https://phillipreeve.net/blog/review_voigtlander_21mm_f14_e/" TargetMode="External"/><Relationship Id="rId92" Type="http://schemas.openxmlformats.org/officeDocument/2006/relationships/hyperlink" Target="https://amzn.to/2K7sIP4" TargetMode="External"/><Relationship Id="rId213" Type="http://schemas.openxmlformats.org/officeDocument/2006/relationships/hyperlink" Target="http://rover.ebay.com/rover/1/711-53200-19255-0/1?icep_ff3=9&amp;pub=5575076376&amp;toolid=10001&amp;campid=5338164340&amp;customid=&amp;icep_uq=batis+40&amp;icep_sellerId=&amp;icep_ex_kw=&amp;icep_sortBy=12&amp;icep_catId=3323&amp;icep_minPrice=&amp;icep_maxPrice=&amp;ipn=psmain&amp;icep_vectorid=229466&amp;kwid=902099&amp;mtid=824&amp;kw=lg" TargetMode="External"/><Relationship Id="rId234" Type="http://schemas.openxmlformats.org/officeDocument/2006/relationships/hyperlink" Target="https://phillipreeve.net/blog/review-sony-fe-1-850/" TargetMode="External"/><Relationship Id="rId2" Type="http://schemas.openxmlformats.org/officeDocument/2006/relationships/hyperlink" Target="http://amazon.de/" TargetMode="External"/><Relationship Id="rId29" Type="http://schemas.openxmlformats.org/officeDocument/2006/relationships/hyperlink" Target="http://rover.ebay.com/rover/1/711-53200-19255-0/1?icep_ff3=9&amp;pub=5575076376&amp;toolid=10001&amp;campid=5338573609&amp;customid=&amp;icep_uq=Voigtlander+Sony+15mm+4.5&amp;icep_sellerId=&amp;icep_ex_kw=&amp;icep_sortBy=12&amp;icep_catId=3323&amp;icep_minPrice=&amp;icep_maxPrice=&amp;ipn=psmain&amp;icep_vectorid=229466&amp;kwid=902099&amp;mtid=824&amp;kw=lg" TargetMode="External"/><Relationship Id="rId255" Type="http://schemas.openxmlformats.org/officeDocument/2006/relationships/hyperlink" Target="http://rover.ebay.com/rover/1/711-53200-19255-0/1?icep_ff3=9&amp;pub=5575076376&amp;toolid=10001&amp;campid=5338164340&amp;customid=&amp;icep_uq=sony+55+1.8&amp;icep_sellerId=&amp;icep_ex_kw=&amp;icep_sortBy=12&amp;icep_catId=3323&amp;icep_minPrice=&amp;icep_maxPrice=&amp;ipn=psmain&amp;icep_vectorid=229466&amp;kwid=902099&amp;mtid=824&amp;kw=lg" TargetMode="External"/><Relationship Id="rId276" Type="http://schemas.openxmlformats.org/officeDocument/2006/relationships/hyperlink" Target="https://www.bhphotovideo.com/c/product/1222775-REG/sony_sel85f14gm_fe_85mm_f_1_4_gm.html/BI/19619/KBID/12129/DFF/d10-v21-t1-x707644/SID/EZ" TargetMode="External"/><Relationship Id="rId297" Type="http://schemas.openxmlformats.org/officeDocument/2006/relationships/hyperlink" Target="https://www.bhphotovideo.com/c/product/1470585-REG/viltrox_pfu_rbmh_85mm_f1_8_stm_e_mount_85mm_f_1_8_lens_for.html/BI/19619/KBID/12129/DFF/d10-v21-t1-x955239/SID/EZ" TargetMode="External"/><Relationship Id="rId40" Type="http://schemas.openxmlformats.org/officeDocument/2006/relationships/hyperlink" Target="https://amzn.to/2Hv3AyB" TargetMode="External"/><Relationship Id="rId115" Type="http://schemas.openxmlformats.org/officeDocument/2006/relationships/hyperlink" Target="https://amzn.to/2K7LwMR" TargetMode="External"/><Relationship Id="rId136" Type="http://schemas.openxmlformats.org/officeDocument/2006/relationships/hyperlink" Target="https://amzn.to/2WzVkHd" TargetMode="External"/><Relationship Id="rId157" Type="http://schemas.openxmlformats.org/officeDocument/2006/relationships/hyperlink" Target="https://amzn.to/2LiHhxc" TargetMode="External"/><Relationship Id="rId178" Type="http://schemas.openxmlformats.org/officeDocument/2006/relationships/hyperlink" Target="https://amzn.to/2ZrfakE" TargetMode="External"/><Relationship Id="rId301" Type="http://schemas.openxmlformats.org/officeDocument/2006/relationships/hyperlink" Target="https://www.bhphotovideo.com/c/product/1282150-REG/zeiss_2162_636_loxia_85mm_f_2_4_lens.html/BI/19619/KBID/12129/DFF/d10-v21-t1-x762761/SID/EZ" TargetMode="External"/><Relationship Id="rId322" Type="http://schemas.openxmlformats.org/officeDocument/2006/relationships/hyperlink" Target="https://amzn.to/2WpOvTy" TargetMode="External"/><Relationship Id="rId343" Type="http://schemas.openxmlformats.org/officeDocument/2006/relationships/hyperlink" Target="http://rover.ebay.com/rover/1/711-53200-19255-0/1?icep_ff3=9&amp;pub=5575076376&amp;toolid=10001&amp;campid=5338164340&amp;customid=&amp;icep_uq=sony+400+gm&amp;icep_sellerId=&amp;icep_ex_kw=&amp;icep_sortBy=12&amp;icep_catId=3323&amp;icep_minPrice=&amp;icep_maxPrice=&amp;ipn=psmain&amp;icep_vectorid=229466&amp;kwid=902099&amp;mtid=824&amp;kw=lg" TargetMode="External"/><Relationship Id="rId61" Type="http://schemas.openxmlformats.org/officeDocument/2006/relationships/hyperlink" Target="http://amzn.to/2vlG2Yq" TargetMode="External"/><Relationship Id="rId82" Type="http://schemas.openxmlformats.org/officeDocument/2006/relationships/hyperlink" Target="https://www.bhphotovideo.com/c/product/1437613-REG/voigtlander_color_skopar_21mm_f_3_5_aspherical.html/BI/19619/KBID/12129/kw/VO2135E/DFF/d10-v2-t1-xVO2135E" TargetMode="External"/><Relationship Id="rId199" Type="http://schemas.openxmlformats.org/officeDocument/2006/relationships/hyperlink" Target="https://www.bhphotovideo.com/c/product/1348365-REG/samyang_syio35af_e_35mm_f2_8_compact_wide.html/BI/19619/KBID/12129/DFF/d10-v21-t1-x832776/SID/EZ" TargetMode="External"/><Relationship Id="rId203" Type="http://schemas.openxmlformats.org/officeDocument/2006/relationships/hyperlink" Target="https://amzn.to/2A412DK" TargetMode="External"/><Relationship Id="rId19" Type="http://schemas.openxmlformats.org/officeDocument/2006/relationships/hyperlink" Target="https://www.bhphotovideo.com/c/product/1492972-REG/sigma_213965_14_24mm_f_2_8_dg_dn.html/BI/19619/KBID/12129/DFF/d10-v21-t1-x976041/SID/EZ" TargetMode="External"/><Relationship Id="rId224" Type="http://schemas.openxmlformats.org/officeDocument/2006/relationships/hyperlink" Target="https://amzn.to/2K88EL7" TargetMode="External"/><Relationship Id="rId245" Type="http://schemas.openxmlformats.org/officeDocument/2006/relationships/hyperlink" Target="http://amzn.to/2wyJAU4" TargetMode="External"/><Relationship Id="rId266" Type="http://schemas.openxmlformats.org/officeDocument/2006/relationships/hyperlink" Target="https://amzn.to/2SVN1Ao" TargetMode="External"/><Relationship Id="rId287" Type="http://schemas.openxmlformats.org/officeDocument/2006/relationships/hyperlink" Target="https://www.bhphotovideo.com/c/product/1140833-REG/zeiss_2103_751_85mm_f_1_8_batis_short.html/BI/19619/KBID/12129/DFF/d10-v21-t1-x627139/SID/EZ" TargetMode="External"/><Relationship Id="rId30" Type="http://schemas.openxmlformats.org/officeDocument/2006/relationships/hyperlink" Target="https://phillipreeve.net/blog/sony-fe-16-35mm-f4-za-t-review/" TargetMode="External"/><Relationship Id="rId105" Type="http://schemas.openxmlformats.org/officeDocument/2006/relationships/hyperlink" Target="https://amzn.to/2STHavK" TargetMode="External"/><Relationship Id="rId126" Type="http://schemas.openxmlformats.org/officeDocument/2006/relationships/hyperlink" Target="https://www.bhphotovideo.com/c/product/1140832-REG/zeiss_2103_750_25mm_f_2_0_batis_wide.html/BI/19619/KBID/12129/DFF/d10-v21-t1-x627141/SID/EZ" TargetMode="External"/><Relationship Id="rId147" Type="http://schemas.openxmlformats.org/officeDocument/2006/relationships/hyperlink" Target="http://rover.ebay.com/rover/1/711-53200-19255-0/1?icep_ff3=9&amp;pub=5575076376&amp;toolid=10001&amp;campid=5338573609&amp;customid=&amp;icep_uq=tamron+28-75+sony&amp;icep_sellerId=&amp;icep_ex_kw=&amp;icep_sortBy=12&amp;icep_catId=3323&amp;icep_minPrice=&amp;icep_maxPrice=&amp;ipn=psmain&amp;icep_vectorid=229466&amp;kwid=902099&amp;mtid=824&amp;kw=lg" TargetMode="External"/><Relationship Id="rId168" Type="http://schemas.openxmlformats.org/officeDocument/2006/relationships/hyperlink" Target="https://amzn.to/2Zhl3FI" TargetMode="External"/><Relationship Id="rId312" Type="http://schemas.openxmlformats.org/officeDocument/2006/relationships/hyperlink" Target="https://phillipreeve.net/blog/review-tokina-firin-100mm-f2-8-fe-macro/" TargetMode="External"/><Relationship Id="rId333" Type="http://schemas.openxmlformats.org/officeDocument/2006/relationships/hyperlink" Target="https://amzn.to/2yxIM4R" TargetMode="External"/><Relationship Id="rId51" Type="http://schemas.openxmlformats.org/officeDocument/2006/relationships/hyperlink" Target="https://www.bhphotovideo.com/c/product/1393490-REG/sigma_20mm_f_1_4_dg_hsm.html/BI/19619/KBID/12129/DFF/d10-v21-t1-x881155/SID/EZ" TargetMode="External"/><Relationship Id="rId72" Type="http://schemas.openxmlformats.org/officeDocument/2006/relationships/hyperlink" Target="https://amzn.to/2K7gHrC" TargetMode="External"/><Relationship Id="rId93" Type="http://schemas.openxmlformats.org/officeDocument/2006/relationships/hyperlink" Target="http://rover.ebay.com/rover/1/711-53200-19255-0/1?icep_ff3=9&amp;pub=5575076376&amp;toolid=10001&amp;campid=5338573609&amp;customid=&amp;icep_uq=sigma+art+24mm+e-mount&amp;icep_sellerId=&amp;icep_ex_kw=&amp;icep_sortBy=12&amp;icep_catId=3323&amp;icep_minPrice=&amp;icep_maxPrice=&amp;ipn=psmain&amp;icep_vectorid=229466&amp;kwid=902099&amp;mtid=824&amp;kw=lg" TargetMode="External"/><Relationship Id="rId189" Type="http://schemas.openxmlformats.org/officeDocument/2006/relationships/hyperlink" Target="http://www.photozone.de/sonyalphaff/865-zeiss35f28ff" TargetMode="External"/><Relationship Id="rId3" Type="http://schemas.openxmlformats.org/officeDocument/2006/relationships/hyperlink" Target="http://ebay.com/" TargetMode="External"/><Relationship Id="rId214" Type="http://schemas.openxmlformats.org/officeDocument/2006/relationships/hyperlink" Target="https://amzn.to/2YC6MST" TargetMode="External"/><Relationship Id="rId235" Type="http://schemas.openxmlformats.org/officeDocument/2006/relationships/hyperlink" Target="http://amzn.to/2v2F5Se" TargetMode="External"/><Relationship Id="rId256" Type="http://schemas.openxmlformats.org/officeDocument/2006/relationships/hyperlink" Target="https://phillipreeve.net/blog/voigtlander-65-f2-apo-macro-review/" TargetMode="External"/><Relationship Id="rId277" Type="http://schemas.openxmlformats.org/officeDocument/2006/relationships/hyperlink" Target="http://rover.ebay.com/rover/1/711-53200-19255-0/1?icep_ff3=9&amp;pub=5575076376&amp;toolid=10001&amp;campid=5338164340&amp;customid=&amp;icep_uq=sony+gm+85+1.4&amp;icep_sellerId=&amp;icep_ex_kw=&amp;icep_sortBy=12&amp;icep_catId=3323&amp;icep_minPrice=&amp;icep_maxPrice=&amp;ipn=psmain&amp;icep_vectorid=229466&amp;kwid=902099&amp;mtid=824&amp;kw=lg" TargetMode="External"/><Relationship Id="rId298" Type="http://schemas.openxmlformats.org/officeDocument/2006/relationships/hyperlink" Target="http://rover.ebay.com/rover/1/711-53200-19255-0/1?icep_ff3=9&amp;pub=5575076376&amp;toolid=10001&amp;campid=5338164340&amp;customid=&amp;icep_uq=viltrox+85mm+1.8+sony+stm&amp;icep_sellerId=&amp;icep_ex_kw=&amp;icep_sortBy=12&amp;icep_catId=3323&amp;icep_minPrice=&amp;icep_maxPrice=&amp;ipn=psmain&amp;icep_vectorid=229466&amp;kwid=902099&amp;mtid=824&amp;kw=lg" TargetMode="External"/><Relationship Id="rId116" Type="http://schemas.openxmlformats.org/officeDocument/2006/relationships/hyperlink" Target="https://www.bhphotovideo.com/c/search?Ntt=sony%2024-105&amp;N=0&amp;InitialSearch=yes&amp;sts=ma&amp;Top+Nav-Search=&amp;BI=19619&amp;KBID=12129&amp;KWID=EZ" TargetMode="External"/><Relationship Id="rId137" Type="http://schemas.openxmlformats.org/officeDocument/2006/relationships/hyperlink" Target="http://rover.ebay.com/rover/1/711-53200-19255-0/1?icep_ff3=9&amp;pub=5575076376&amp;toolid=10001&amp;campid=5338573609&amp;customid=&amp;icep_uq=sigma+art+28mm+e-mount&amp;icep_sellerId=&amp;icep_ex_kw=&amp;icep_sortBy=12&amp;icep_catId=3323&amp;icep_minPrice=&amp;icep_maxPrice=&amp;ipn=psmain&amp;icep_vectorid=229466&amp;kwid=902099&amp;mtid=824&amp;kw=lg" TargetMode="External"/><Relationship Id="rId158" Type="http://schemas.openxmlformats.org/officeDocument/2006/relationships/hyperlink" Target="https://www.bhphotovideo.com/c/product/1492967-REG/sigma_341969_35mm_f_1_2_dg_dn.html/BI/19619/KBID/12129/DFF/d10-v21-t1-x976038/SID/EZ" TargetMode="External"/><Relationship Id="rId302" Type="http://schemas.openxmlformats.org/officeDocument/2006/relationships/hyperlink" Target="http://rover.ebay.com/rover/1/711-53200-19255-0/1?icep_ff3=9&amp;pub=5575076376&amp;toolid=10001&amp;campid=5338164340&amp;customid=&amp;icep_uq=loxia+85+sony&amp;icep_sellerId=&amp;icep_ex_kw=&amp;icep_sortBy=12&amp;icep_catId=3323&amp;icep_minPrice=&amp;icep_maxPrice=&amp;ipn=psmain&amp;icep_vectorid=229466&amp;kwid=902099&amp;mtid=824&amp;kw=lg" TargetMode="External"/><Relationship Id="rId323" Type="http://schemas.openxmlformats.org/officeDocument/2006/relationships/hyperlink" Target="http://rover.ebay.com/rover/1/711-53200-19255-0/1?icep_ff3=9&amp;pub=5575076376&amp;toolid=10001&amp;campid=5338164340&amp;customid=&amp;icep_uq=sigma+art+105+1.4+sony&amp;icep_sellerId=&amp;icep_ex_kw=&amp;icep_sortBy=12&amp;icep_catId=3323&amp;icep_minPrice=&amp;icep_maxPrice=&amp;ipn=psmain&amp;icep_vectorid=229466&amp;kwid=902099&amp;mtid=824&amp;kw=lg" TargetMode="External"/><Relationship Id="rId344" Type="http://schemas.openxmlformats.org/officeDocument/2006/relationships/hyperlink" Target="https://www.bhphotovideo.com/c/product/1485539-REG/sony_sel600f40gm_fe_600mm_f_4_gm.html/BI/19619/KBID/12129/DFF/d10-v21-t1-x968881/SID/EZ" TargetMode="External"/><Relationship Id="rId20" Type="http://schemas.openxmlformats.org/officeDocument/2006/relationships/hyperlink" Target="http://rover.ebay.com/rover/1/711-53200-19255-0/1?icep_ff3=9&amp;pub=5575076376&amp;toolid=10001&amp;campid=5338573609&amp;customid=&amp;icep_uq=sigma+14-24+2.8+sony&amp;icep_sellerId=&amp;icep_ex_kw=&amp;icep_sortBy=12&amp;icep_catId=3323&amp;icep_minPrice=&amp;icep_maxPrice=&amp;ipn=psmain&amp;icep_vectorid=229466&amp;kwid=902099&amp;mtid=824&amp;kw=lg" TargetMode="External"/><Relationship Id="rId41" Type="http://schemas.openxmlformats.org/officeDocument/2006/relationships/hyperlink" Target="https://www.bhphotovideo.com/c/product/1461529-REG/tamron_a046_17_28mm_f_2_8_di_iii.html/BI/19619/KBID/12129/DFF/d10-v21-t1-x946694/SID/EZ" TargetMode="External"/><Relationship Id="rId62" Type="http://schemas.openxmlformats.org/officeDocument/2006/relationships/hyperlink" Target="https://www.bhphotovideo.com/c/product/1281299-REG/tokina_firin_20mm_f_2_fe.html/BI/19619/KBID/12129/kw/TO202E/DFF/d10-v2-t1-xTO202E" TargetMode="External"/><Relationship Id="rId83" Type="http://schemas.openxmlformats.org/officeDocument/2006/relationships/hyperlink" Target="https://amzn.to/2ZoERan" TargetMode="External"/><Relationship Id="rId179" Type="http://schemas.openxmlformats.org/officeDocument/2006/relationships/hyperlink" Target="http://rover.ebay.com/rover/1/711-53200-19255-0/1?icep_ff3=9&amp;pub=5575076376&amp;toolid=10001&amp;campid=5338573609&amp;customid=&amp;icep_uq=sony+35+1.4+sigma+af&amp;icep_sellerId=&amp;icep_ex_kw=&amp;icep_sortBy=12&amp;icep_catId=3323&amp;icep_minPrice=&amp;icep_maxPrice=&amp;ipn=psmain&amp;icep_vectorid=229466&amp;kwid=902099&amp;mtid=824&amp;kw=lg" TargetMode="External"/><Relationship Id="rId190" Type="http://schemas.openxmlformats.org/officeDocument/2006/relationships/hyperlink" Target="https://amzn.to/2yvhL24" TargetMode="External"/><Relationship Id="rId204" Type="http://schemas.openxmlformats.org/officeDocument/2006/relationships/hyperlink" Target="https://www.bhphotovideo.com/c/product/1362557-REG/voigtlander_nokton_40mm_f_1_2_aspherical.html/BI/19619/KBID/12129/DFF/d10-v21-t1-x851241/SID/EZ" TargetMode="External"/><Relationship Id="rId225" Type="http://schemas.openxmlformats.org/officeDocument/2006/relationships/hyperlink" Target="https://www.bhphotovideo.com/c/product/1264965-REG/sony_sel50f14z_planar_t_fe_50mm.html/BI/19619/KBID/12129/DFF/d10-v21-t1-x746806/SID/EZ" TargetMode="External"/><Relationship Id="rId246" Type="http://schemas.openxmlformats.org/officeDocument/2006/relationships/hyperlink" Target="http://rover.ebay.com/rover/1/711-53200-19255-0/1?icep_ff3=9&amp;pub=5575076376&amp;toolid=10001&amp;campid=5338164340&amp;customid=&amp;icep_uq=loxia++50+sony&amp;icep_sellerId=&amp;icep_ex_kw=&amp;icep_sortBy=12&amp;icep_catId=3323&amp;icep_minPrice=&amp;icep_maxPrice=&amp;ipn=psmain&amp;icep_vectorid=229466&amp;kwid=902099&amp;mtid=824&amp;kw=lg" TargetMode="External"/><Relationship Id="rId267" Type="http://schemas.openxmlformats.org/officeDocument/2006/relationships/hyperlink" Target="https://www.bhphotovideo.com/c/product/1242614-REG/sony_sel70300g_fe_70_300mm_f_4_5_5_6_g.html/BI/19619/KBID/12129/DFF/d10-v21-t1-x722726/SID/EZ" TargetMode="External"/><Relationship Id="rId288" Type="http://schemas.openxmlformats.org/officeDocument/2006/relationships/hyperlink" Target="http://rover.ebay.com/rover/1/711-53200-19255-0/1?icep_ff3=9&amp;pub=5575076376&amp;toolid=10001&amp;campid=5338164340&amp;customid=&amp;icep_uq=sony+85mm+1.8+fe&amp;icep_sellerId=&amp;icep_ex_kw=&amp;icep_sortBy=12&amp;icep_catId=3323&amp;icep_minPrice=&amp;icep_maxPrice=&amp;ipn=psmain&amp;icep_vectorid=229466&amp;kwid=902099&amp;mtid=824&amp;kw=lg" TargetMode="External"/><Relationship Id="rId106" Type="http://schemas.openxmlformats.org/officeDocument/2006/relationships/hyperlink" Target="https://www.bhphotovideo.com/c/search?Ntt=gm%2024-70&amp;N=0&amp;InitialSearch=yes&amp;sts=ma&amp;Top+Nav-Search=&amp;BI=19619&amp;KBID=12129&amp;KWID=EZ" TargetMode="External"/><Relationship Id="rId127" Type="http://schemas.openxmlformats.org/officeDocument/2006/relationships/hyperlink" Target="https://amzn.to/2L20DIj" TargetMode="External"/><Relationship Id="rId313" Type="http://schemas.openxmlformats.org/officeDocument/2006/relationships/hyperlink" Target="http://amzn.to/2fbeX3x" TargetMode="External"/><Relationship Id="rId10" Type="http://schemas.openxmlformats.org/officeDocument/2006/relationships/hyperlink" Target="https://amzn.to/2Kg94zb" TargetMode="External"/><Relationship Id="rId31" Type="http://schemas.openxmlformats.org/officeDocument/2006/relationships/hyperlink" Target="http://amzn.to/2v2sY7q" TargetMode="External"/><Relationship Id="rId52" Type="http://schemas.openxmlformats.org/officeDocument/2006/relationships/hyperlink" Target="https://amzn.to/2Wy0d3F" TargetMode="External"/><Relationship Id="rId73" Type="http://schemas.openxmlformats.org/officeDocument/2006/relationships/hyperlink" Target="https://www.bhphotovideo.com/c/product/1480269-REG/voigtlander_ba352a_nokton_21mm_f_1_4_aspherical.html/BI/19619/KBID/12129/DFF/d10-v21-t1-x963269/SID/EZ" TargetMode="External"/><Relationship Id="rId94" Type="http://schemas.openxmlformats.org/officeDocument/2006/relationships/hyperlink" Target="https://phillipreeve.net/blog/review-samyang-af-2-4-28-fe-at-least-its-small/" TargetMode="External"/><Relationship Id="rId148" Type="http://schemas.openxmlformats.org/officeDocument/2006/relationships/hyperlink" Target="https://www.amazon.com/gp/product/B00FYOFADE/ref=as_li_tl?ie=UTF8&amp;tag=wwwphillipree-20&amp;camp=1789&amp;creative=9325&amp;linkCode=as2&amp;creativeASIN=B00FYOFADE&amp;linkId=96720b245156eae53bb1a672d4453d3f" TargetMode="External"/><Relationship Id="rId169" Type="http://schemas.openxmlformats.org/officeDocument/2006/relationships/hyperlink" Target="http://rover.ebay.com/rover/1/711-53200-19255-0/1?icep_ff3=9&amp;pub=5575076376&amp;toolid=10001&amp;campid=5338573609&amp;customid=&amp;icep_uq=sony+35+1.4+samyang+af&amp;icep_sellerId=&amp;icep_ex_kw=&amp;icep_sortBy=12&amp;icep_catId=3323&amp;icep_minPrice=&amp;icep_maxPrice=&amp;ipn=psmain&amp;icep_vectorid=229466&amp;kwid=902099&amp;mtid=824&amp;kw=lg" TargetMode="External"/><Relationship Id="rId334" Type="http://schemas.openxmlformats.org/officeDocument/2006/relationships/hyperlink" Target="https://www.bhphotovideo.com/c/product/1393495-REG/sigma_135mm_f_1_8_dg_hsm.html/BI/19619/KBID/12129/DFF/d10-v21-t1-x881160/SID/EZ" TargetMode="External"/><Relationship Id="rId4" Type="http://schemas.openxmlformats.org/officeDocument/2006/relationships/hyperlink" Target="https://amzn.to/2jJ8WxH" TargetMode="External"/><Relationship Id="rId180" Type="http://schemas.openxmlformats.org/officeDocument/2006/relationships/hyperlink" Target="https://phillipreeve.net/blog/review-sony-fe-35mm-f1-8/" TargetMode="External"/><Relationship Id="rId215" Type="http://schemas.openxmlformats.org/officeDocument/2006/relationships/hyperlink" Target="https://www.bhphotovideo.com/c/product/1478738-REG/samyang_af_45mm_f_1_8_fe.html/BI/19619/KBID/12129/DFF/d10-v21-t1-x964329/SID/EZ" TargetMode="External"/><Relationship Id="rId236" Type="http://schemas.openxmlformats.org/officeDocument/2006/relationships/hyperlink" Target="https://www.bhphotovideo.com/c/product/1242613-REG/sony_sel50f18f_fe_50mm_f_1_8_lens.html/BI/19619/KBID/12129/kw/SO5018F/DFF/d10-v2-t1-xSO5018F" TargetMode="External"/><Relationship Id="rId257" Type="http://schemas.openxmlformats.org/officeDocument/2006/relationships/hyperlink" Target="https://amzn.to/2LU48SI" TargetMode="External"/><Relationship Id="rId278" Type="http://schemas.openxmlformats.org/officeDocument/2006/relationships/hyperlink" Target="https://amzn.to/2MBd68k" TargetMode="External"/><Relationship Id="rId303" Type="http://schemas.openxmlformats.org/officeDocument/2006/relationships/hyperlink" Target="https://phillipreeve.net/blog/review-sony-fe-90mm-f2-8-macro-oss-one-of-sonys-finest/" TargetMode="External"/><Relationship Id="rId42" Type="http://schemas.openxmlformats.org/officeDocument/2006/relationships/hyperlink" Target="https://amzn.to/2YkrkQB" TargetMode="External"/><Relationship Id="rId84" Type="http://schemas.openxmlformats.org/officeDocument/2006/relationships/hyperlink" Target="http://rover.ebay.com/rover/1/707-53477-19255-0/1?icep_ff3=9&amp;pub=5575076376&amp;toolid=10001&amp;campid=5338423810&amp;customid=&amp;icep_uq=voigtlander+21mm+3.5&amp;icep_sellerId=&amp;icep_ex_kw=&amp;icep_sortBy=12&amp;icep_catId=3323&amp;icep_minPrice=&amp;icep_maxPrice=&amp;ipn=psmain&amp;icep_vectorid=229487&amp;kwid=902099&amp;mtid=824&amp;kw=lg" TargetMode="External"/><Relationship Id="rId138" Type="http://schemas.openxmlformats.org/officeDocument/2006/relationships/hyperlink" Target="https://www.systemkamera-forum.de/blog/2015/05/sony-fe-28mm-f2-test-und-erfahrungsbericht/" TargetMode="External"/><Relationship Id="rId345" Type="http://schemas.openxmlformats.org/officeDocument/2006/relationships/hyperlink" Target="http://rover.ebay.com/rover/1/711-53200-19255-0/1?icep_ff3=9&amp;pub=5575076376&amp;toolid=10001&amp;campid=5338164340&amp;customid=&amp;icep_uq=sony+600+gm&amp;icep_sellerId=&amp;icep_ex_kw=&amp;icep_sortBy=12&amp;icep_catId=3323&amp;icep_minPrice=&amp;icep_maxPrice=&amp;ipn=psmain&amp;icep_vectorid=229466&amp;kwid=902099&amp;mtid=824&amp;kw=lg" TargetMode="External"/><Relationship Id="rId191" Type="http://schemas.openxmlformats.org/officeDocument/2006/relationships/hyperlink" Target="https://www.bhphotovideo.com/c/product/1008123-REG/sony_sel35f28z_sonnar_t_fe_35mm.html/BI/19619/KBID/12129/DFF/d10-v21-t1-x466840/SID/EZ" TargetMode="External"/><Relationship Id="rId205" Type="http://schemas.openxmlformats.org/officeDocument/2006/relationships/hyperlink" Target="http://rover.ebay.com/rover/1/711-53200-19255-0/1?icep_ff3=9&amp;pub=5575076376&amp;toolid=10001&amp;campid=5338573609&amp;customid=&amp;icep_uq=Voigtlander+Sony+40mm+1.2&amp;icep_sellerId=&amp;icep_ex_kw=&amp;icep_sortBy=12&amp;icep_catId=3323&amp;icep_minPrice=&amp;icep_maxPrice=&amp;ipn=psmain&amp;icep_vectorid=229466&amp;kwid=902099&amp;mtid=824&amp;kw=lg" TargetMode="External"/><Relationship Id="rId247" Type="http://schemas.openxmlformats.org/officeDocument/2006/relationships/hyperlink" Target="https://phillipreeve.net/blog/rolling-review-sony-fe-2-850-macro/" TargetMode="External"/><Relationship Id="rId107" Type="http://schemas.openxmlformats.org/officeDocument/2006/relationships/hyperlink" Target="https://amzn.to/2ZwoyU7" TargetMode="External"/><Relationship Id="rId289" Type="http://schemas.openxmlformats.org/officeDocument/2006/relationships/hyperlink" Target="https://phillipreeve.net/blog/zeiss-batis-sonnar-t-85mm-f1-8-a-review/" TargetMode="External"/><Relationship Id="rId11" Type="http://schemas.openxmlformats.org/officeDocument/2006/relationships/hyperlink" Target="http://rover.ebay.com/rover/1/711-53200-19255-0/1?icep_ff3=9&amp;pub=5575076376&amp;toolid=10001&amp;campid=5338573609&amp;customid=&amp;icep_uq=sony+12-24&amp;icep_sellerId=&amp;icep_ex_kw=&amp;icep_sortBy=12&amp;icep_catId=3323&amp;icep_minPrice=&amp;icep_maxPrice=&amp;ipn=psmain&amp;icep_vectorid=229466&amp;kwid=902099&amp;mtid=824&amp;kw=lg" TargetMode="External"/><Relationship Id="rId53" Type="http://schemas.openxmlformats.org/officeDocument/2006/relationships/hyperlink" Target="http://rover.ebay.com/rover/1/711-53200-19255-0/1?icep_ff3=9&amp;pub=5575076376&amp;toolid=10001&amp;campid=5338573609&amp;customid=&amp;icep_uq=sigma+art+20+1.4+sony&amp;icep_sellerId=&amp;icep_ex_kw=&amp;icep_sortBy=12&amp;icep_catId=3323&amp;icep_minPrice=&amp;icep_maxPrice=&amp;ipn=psmain&amp;icep_vectorid=229466&amp;kwid=902099&amp;mtid=824&amp;kw=lg" TargetMode="External"/><Relationship Id="rId149" Type="http://schemas.openxmlformats.org/officeDocument/2006/relationships/hyperlink" Target="https://www.bhphotovideo.com/c/product/1015472-REG/sony_sel2870_fe_28_70mm_f_3_5_5_6_oss.html/BI/19619/KBID/12129/DFF/d10-v21-t1-x473993/SID/EZ" TargetMode="External"/><Relationship Id="rId314" Type="http://schemas.openxmlformats.org/officeDocument/2006/relationships/hyperlink" Target="https://www.bhphotovideo.com/c/product/1473390-REG/tokina_frn_afm100fxse_firin_100mm_f_2_8_fe.html/BI/19619/KBID/12129/kw/TO100AF/DFF/d10-v2-t1-xTO100AF" TargetMode="External"/><Relationship Id="rId95" Type="http://schemas.openxmlformats.org/officeDocument/2006/relationships/hyperlink" Target="https://amzn.to/2NEHZ7c" TargetMode="External"/><Relationship Id="rId160" Type="http://schemas.openxmlformats.org/officeDocument/2006/relationships/hyperlink" Target="https://phillipreeve.net/blog/review-sony-fe-35mm-1-4-za/" TargetMode="External"/><Relationship Id="rId216" Type="http://schemas.openxmlformats.org/officeDocument/2006/relationships/hyperlink" Target="http://rover.ebay.com/rover/1/711-53200-19255-0/1?icep_ff3=9&amp;pub=5575076376&amp;toolid=10001&amp;campid=5338164340&amp;customid=&amp;icep_uq=samyang+45mm+sony&amp;icep_sellerId=&amp;icep_ex_kw=&amp;icep_sortBy=12&amp;icep_catId=3323&amp;icep_minPrice=&amp;icep_maxPrice=&amp;ipn=psmain&amp;icep_vectorid=229466&amp;kwid=902099&amp;mtid=824&amp;kw=lg" TargetMode="External"/><Relationship Id="rId258" Type="http://schemas.openxmlformats.org/officeDocument/2006/relationships/hyperlink" Target="https://www.bhphotovideo.com/c/product/1350400-REG/voigtlander_macro_apo_lanthar_65mm_f2.html/BI/19619/KBID/12129/DFF/d10-v21-t1-x835677/SID/EZ" TargetMode="External"/><Relationship Id="rId22" Type="http://schemas.openxmlformats.org/officeDocument/2006/relationships/hyperlink" Target="https://www.bhphotovideo.com/c/product/1352863-REG/samyang_syio14af_e_14mm_f_2_8_f_f_wide.html/BI/19619/KBID/12129/DFF/d10-v21-t1-x837928/SID/EZ" TargetMode="External"/><Relationship Id="rId64" Type="http://schemas.openxmlformats.org/officeDocument/2006/relationships/hyperlink" Target="http://rover.ebay.com/rover/1/711-53200-19255-0/1?icep_ff3=10&amp;pub=5575076376&amp;toolid=10001&amp;campid=5338164340&amp;customid=&amp;icep_uq=tokina+firin+20&amp;icep_sellerId=&amp;icep_ex_kw=&amp;icep_sortBy=12&amp;icep_catId=&amp;icep_minPrice=&amp;icep_maxPrice=&amp;ipn=psmain&amp;icep_vectorid=229466&amp;kwid=902099&amp;mtid=824&amp;kw=lg" TargetMode="External"/><Relationship Id="rId118" Type="http://schemas.openxmlformats.org/officeDocument/2006/relationships/hyperlink" Target="http://rover.ebay.com/rover/1/711-53200-19255-0/1?icep_ff3=9&amp;pub=5575076376&amp;toolid=10001&amp;campid=5338573609&amp;customid=&amp;icep_uq=sony+g+24-105&amp;icep_sellerId=&amp;icep_ex_kw=&amp;icep_sortBy=12&amp;icep_catId=3323&amp;icep_minPrice=&amp;icep_maxPrice=&amp;ipn=psmain&amp;icep_vectorid=229466&amp;kwid=902099&amp;mtid=824&amp;kw=lg" TargetMode="External"/><Relationship Id="rId325" Type="http://schemas.openxmlformats.org/officeDocument/2006/relationships/hyperlink" Target="https://amzn.to/2SXYsrm" TargetMode="External"/><Relationship Id="rId171" Type="http://schemas.openxmlformats.org/officeDocument/2006/relationships/hyperlink" Target="https://amzn.to/2M1M8WH" TargetMode="External"/><Relationship Id="rId227" Type="http://schemas.openxmlformats.org/officeDocument/2006/relationships/hyperlink" Target="https://amzn.to/2K4JmyT" TargetMode="External"/><Relationship Id="rId269" Type="http://schemas.openxmlformats.org/officeDocument/2006/relationships/hyperlink" Target="https://phillipreeve.net/blog/review-sony-fe-470-200-g-oss/https:/phillipreeve.net/blog/review-sony-fe-470-200-g-oss/" TargetMode="External"/><Relationship Id="rId33" Type="http://schemas.openxmlformats.org/officeDocument/2006/relationships/hyperlink" Target="http://amzn.to/2wyMLuP" TargetMode="External"/><Relationship Id="rId129" Type="http://schemas.openxmlformats.org/officeDocument/2006/relationships/hyperlink" Target="https://phillipreeve.net/blog/review-zeiss-loxia-2-4-25mm-distagon/" TargetMode="External"/><Relationship Id="rId280" Type="http://schemas.openxmlformats.org/officeDocument/2006/relationships/hyperlink" Target="https://amzn.to/2Wto6JH" TargetMode="External"/><Relationship Id="rId336" Type="http://schemas.openxmlformats.org/officeDocument/2006/relationships/hyperlink" Target="https://phillipreeve.net/blog/zeiss-batis-apo-sonnar-t-135mm-f2-8/" TargetMode="External"/><Relationship Id="rId75" Type="http://schemas.openxmlformats.org/officeDocument/2006/relationships/hyperlink" Target="https://phillipreeve.net/blog/rolling-review-zeiss-loxia-distagon-2-821mm-t/https:/phillipreeve.net/blog/rolling-review-zeiss-loxia-distagon-2-821mm-t/" TargetMode="External"/><Relationship Id="rId140" Type="http://schemas.openxmlformats.org/officeDocument/2006/relationships/hyperlink" Target="https://www.bhphotovideo.com/c/product/1402637-REG/sony_fe_28mm_f_2_lens.html/BI/19619/KBID/12129/kw/SO2820F/DFF/d10-v2-t1-xSO2820F" TargetMode="External"/><Relationship Id="rId182" Type="http://schemas.openxmlformats.org/officeDocument/2006/relationships/hyperlink" Target="https://www.bhphotovideo.com/c/product/1492866-REG/sony_sel35f18f_35mm_f_1_8_fe_lens.html/BI/19619/KBID/12129/DFF/d10-v21-t1-x975763/SID/EZ" TargetMode="External"/><Relationship Id="rId6" Type="http://schemas.openxmlformats.org/officeDocument/2006/relationships/hyperlink" Target="https://amzn.to/2jG72hr" TargetMode="External"/><Relationship Id="rId238" Type="http://schemas.openxmlformats.org/officeDocument/2006/relationships/hyperlink" Target="http://rover.ebay.com/rover/1/711-53200-19255-0/1?icep_ff3=10&amp;pub=5575076376&amp;toolid=10001&amp;campid=5338164340&amp;customid=&amp;icep_uq=sony+50+1.8+fe+-oss&amp;icep_sellerId=&amp;icep_ex_kw=&amp;icep_sortBy=12&amp;icep_catId=&amp;icep_minPrice=&amp;icep_maxPrice=&amp;ipn=psmain&amp;icep_vectorid=229466&amp;kwid=902099&amp;mtid=824&amp;kw=lg" TargetMode="External"/><Relationship Id="rId291" Type="http://schemas.openxmlformats.org/officeDocument/2006/relationships/hyperlink" Target="https://www.bhphotovideo.com/c/product/1140833-REG/zeiss_2103_751_85mm_f_1_8_batis_short.html/BI/19619/KBID/12129/DFF/d10-v21-t1-x627139/SID/EZ" TargetMode="External"/><Relationship Id="rId305" Type="http://schemas.openxmlformats.org/officeDocument/2006/relationships/hyperlink" Target="https://www.bhphotovideo.com/c/product/1380868-REG/sony_fe_90mm_f_2_8_macro.html/BI/19619/KBID/12129/kw/SO9028F/DFF/d10-v2-t1-xSO9028F" TargetMode="External"/><Relationship Id="rId44" Type="http://schemas.openxmlformats.org/officeDocument/2006/relationships/hyperlink" Target="https://phillipreeve.net/blog/review-zeiss-batis-18mm-2-8/" TargetMode="External"/><Relationship Id="rId86" Type="http://schemas.openxmlformats.org/officeDocument/2006/relationships/hyperlink" Target="https://amzn.to/2ywcbw1" TargetMode="External"/><Relationship Id="rId151" Type="http://schemas.openxmlformats.org/officeDocument/2006/relationships/hyperlink" Target="http://rover.ebay.com/rover/1/711-53200-19255-0/1?icep_ff3=10&amp;pub=5575153444&amp;toolid=10001&amp;campid=5338162593&amp;customid=&amp;icep_uq=Sony+28-70+FE&amp;icep_sellerId=&amp;icep_ex_kw=&amp;icep_sortBy=12&amp;icep_catId=&amp;icep_minPrice=&amp;icep_maxPrice=&amp;ipn=psmain&amp;icep_vectorid=229466&amp;kwid=902099&amp;mtid=824&amp;kw=lg" TargetMode="External"/><Relationship Id="rId193" Type="http://schemas.openxmlformats.org/officeDocument/2006/relationships/hyperlink" Target="https://phillipreeve.net/blog/review-tamron-35mm-f-2-8-di-iii-osd-m12/" TargetMode="External"/><Relationship Id="rId207" Type="http://schemas.openxmlformats.org/officeDocument/2006/relationships/hyperlink" Target="https://amzn.to/2SYXFXq" TargetMode="External"/><Relationship Id="rId249" Type="http://schemas.openxmlformats.org/officeDocument/2006/relationships/hyperlink" Target="https://www.bhphotovideo.com/c/product/1277527-REG/sony_sel50m28_fe_50mm_f_2_8_macro.html/BI/19619/KBID/12129/kw/SO5028FF/DFF/d10-v2-t1-xSO5028FF" TargetMode="External"/><Relationship Id="rId13" Type="http://schemas.openxmlformats.org/officeDocument/2006/relationships/hyperlink" Target="http://rover.ebay.com/rover/1/711-53200-19255-0/1?icep_ff3=9&amp;pub=5575076376&amp;toolid=10001&amp;campid=5338573609&amp;customid=&amp;icep_uq=Voigtlander+Sony+12mm+5.6+&amp;icep_sellerId=&amp;icep_ex_kw=&amp;icep_sortBy=12&amp;icep_catId=3323&amp;icep_minPrice=&amp;icep_maxPrice=&amp;ipn=psmain&amp;icep_vectorid=229466&amp;kwid=902099&amp;mtid=824&amp;kw=lg" TargetMode="External"/><Relationship Id="rId109" Type="http://schemas.openxmlformats.org/officeDocument/2006/relationships/hyperlink" Target="https://amzn.to/2YPjpb1" TargetMode="External"/><Relationship Id="rId260" Type="http://schemas.openxmlformats.org/officeDocument/2006/relationships/hyperlink" Target="https://amzn.to/2YGO9te" TargetMode="External"/><Relationship Id="rId316" Type="http://schemas.openxmlformats.org/officeDocument/2006/relationships/hyperlink" Target="http://rover.ebay.com/rover/1/711-53200-19255-0/1?icep_ff3=10&amp;pub=5575076376&amp;toolid=10001&amp;campid=5338164340&amp;customid=&amp;icep_uq=tokina+firin+macro&amp;icep_sellerId=&amp;icep_ex_kw=&amp;icep_sortBy=12&amp;icep_catId=&amp;icep_minPrice=&amp;icep_maxPrice=&amp;ipn=psmain&amp;icep_vectorid=229466&amp;kwid=902099&amp;mtid=824&amp;kw=lg" TargetMode="External"/><Relationship Id="rId55" Type="http://schemas.openxmlformats.org/officeDocument/2006/relationships/hyperlink" Target="https://www.bhphotovideo.com/c/product/1469187-REG/viltrox_pfu_rbmh_20mm_f1_8_asph_e_mount_20mm_f_1_8_for_sony.html/BI/19619/KBID/12129/DFF/d10-v21-t1-x954299/SID/EZ" TargetMode="External"/><Relationship Id="rId97" Type="http://schemas.openxmlformats.org/officeDocument/2006/relationships/hyperlink" Target="https://amzn.to/2Onv1QE" TargetMode="External"/><Relationship Id="rId120" Type="http://schemas.openxmlformats.org/officeDocument/2006/relationships/hyperlink" Target="http://amzn.to/2vlG2Yq" TargetMode="External"/><Relationship Id="rId162" Type="http://schemas.openxmlformats.org/officeDocument/2006/relationships/hyperlink" Target="https://www.bhphotovideo.com/c/product/1126137-REG/sony_sel35f14z_distagon_t_fe_35mm.html/BI/19619/KBID/12129/DFF/d10-v21-t1-x612725/SID/EZ" TargetMode="External"/><Relationship Id="rId218" Type="http://schemas.openxmlformats.org/officeDocument/2006/relationships/hyperlink" Target="https://www.bhphotovideo.com/c/product/1492966-REG/sigma_360965_45mm_f_2_8_dg_dn.html/BI/19619/KBID/12129/DFF/d10-v21-t1-x976020/SID/EZ" TargetMode="External"/><Relationship Id="rId271" Type="http://schemas.openxmlformats.org/officeDocument/2006/relationships/hyperlink" Target="https://www.bhphotovideo.com/c/product/1380865-REG/sony_fe_70_200mm_f_4_g.html/BI/19619/KBID/12129/kw/SO702004F/DFF/d10-v2-t1-xSO702004F" TargetMode="External"/><Relationship Id="rId24" Type="http://schemas.openxmlformats.org/officeDocument/2006/relationships/hyperlink" Target="http://rover.ebay.com/rover/1/711-53200-19255-0/1?icep_ff3=9&amp;pub=5575076376&amp;toolid=10001&amp;campid=5338573609&amp;customid=&amp;icep_uq=samyang+af+14+2.8+sony&amp;icep_sellerId=&amp;icep_ex_kw=&amp;icep_sortBy=12&amp;icep_catId=3323&amp;icep_minPrice=&amp;icep_maxPrice=&amp;ipn=psmain&amp;icep_vectorid=229466&amp;kwid=902099&amp;mtid=824&amp;kw=lg" TargetMode="External"/><Relationship Id="rId66" Type="http://schemas.openxmlformats.org/officeDocument/2006/relationships/hyperlink" Target="https://www.bhphotovideo.com/c/product/1393327-REG/tokina_firin_20mm_f_2_fe.html/BI/19619/KBID/12129/DFF/d10-v21-t1-x880327/SID/EZ" TargetMode="External"/><Relationship Id="rId131" Type="http://schemas.openxmlformats.org/officeDocument/2006/relationships/hyperlink" Target="https://www.bhphotovideo.com/c/product/1389169-REG/zeiss_000000_2218_783_loxia_25mm_f_2_4_lens.html/BI/19619/KBID/12129/kw/ZE2524L/DFF/d10-v2-t1-xZE2524L" TargetMode="External"/><Relationship Id="rId327" Type="http://schemas.openxmlformats.org/officeDocument/2006/relationships/hyperlink" Target="http://rover.ebay.com/rover/1/711-53200-19255-0/1?icep_ff3=9&amp;pub=5575076376&amp;toolid=10001&amp;campid=5338164340&amp;customid=&amp;icep_uq=voigtlander+110mm+apo+sony&amp;icep_sellerId=&amp;icep_ex_kw=&amp;icep_sortBy=12&amp;icep_catId=3323&amp;icep_minPrice=&amp;icep_maxPrice=&amp;ipn=psmain&amp;icep_vectorid=229466&amp;kwid=902099&amp;mtid=824&amp;kw=lg" TargetMode="External"/><Relationship Id="rId173" Type="http://schemas.openxmlformats.org/officeDocument/2006/relationships/hyperlink" Target="https://amzn.to/2ZswTZ3" TargetMode="External"/><Relationship Id="rId229" Type="http://schemas.openxmlformats.org/officeDocument/2006/relationships/hyperlink" Target="https://amzn.to/2Wpdoz5" TargetMode="External"/><Relationship Id="rId240" Type="http://schemas.openxmlformats.org/officeDocument/2006/relationships/hyperlink" Target="https://amzn.to/2uCNQ9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ebay.com/" TargetMode="External"/><Relationship Id="rId2" Type="http://schemas.openxmlformats.org/officeDocument/2006/relationships/hyperlink" Target="http://amazon.de/" TargetMode="External"/><Relationship Id="rId1" Type="http://schemas.openxmlformats.org/officeDocument/2006/relationships/hyperlink" Target="http://amazon.com/"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eba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072"/>
  <sheetViews>
    <sheetView tabSelected="1" zoomScale="200" zoomScaleNormal="200" workbookViewId="0">
      <pane xSplit="1" ySplit="1" topLeftCell="B2" activePane="bottomRight" state="frozen"/>
      <selection pane="topRight" activeCell="B1" sqref="B1"/>
      <selection pane="bottomLeft" activeCell="A2" sqref="A2"/>
      <selection pane="bottomRight" activeCell="M32" sqref="M32"/>
    </sheetView>
  </sheetViews>
  <sheetFormatPr baseColWidth="10" defaultColWidth="14.5" defaultRowHeight="15.75" customHeight="1"/>
  <cols>
    <col min="1" max="1" width="29.1640625" customWidth="1"/>
    <col min="2" max="2" width="6.5" customWidth="1"/>
    <col min="3" max="3" width="8.1640625" customWidth="1"/>
    <col min="4" max="4" width="8" customWidth="1"/>
    <col min="5" max="6" width="7.33203125" customWidth="1"/>
    <col min="7" max="7" width="7.1640625" customWidth="1"/>
    <col min="8" max="8" width="4.5" customWidth="1"/>
    <col min="9" max="9" width="7.5" customWidth="1"/>
    <col min="10" max="10" width="5" customWidth="1"/>
    <col min="11" max="11" width="6.1640625" style="741" customWidth="1"/>
    <col min="12" max="12" width="4" customWidth="1"/>
  </cols>
  <sheetData>
    <row r="1" spans="1:14" ht="120" customHeight="1">
      <c r="A1" s="739" t="s">
        <v>0</v>
      </c>
      <c r="B1" s="763" t="s">
        <v>1</v>
      </c>
      <c r="C1" s="764" t="s">
        <v>2</v>
      </c>
      <c r="D1" s="765" t="s">
        <v>3</v>
      </c>
      <c r="E1" s="766" t="s">
        <v>4</v>
      </c>
      <c r="F1" s="767" t="s">
        <v>5</v>
      </c>
      <c r="G1" s="768" t="s">
        <v>7</v>
      </c>
      <c r="H1" s="764" t="s">
        <v>8</v>
      </c>
      <c r="I1" s="764" t="s">
        <v>10</v>
      </c>
      <c r="J1" s="764" t="s">
        <v>12</v>
      </c>
      <c r="K1" s="769" t="s">
        <v>13</v>
      </c>
      <c r="L1" s="770" t="s">
        <v>21</v>
      </c>
      <c r="M1" s="771" t="s">
        <v>22</v>
      </c>
    </row>
    <row r="2" spans="1:14" ht="18" customHeight="1">
      <c r="A2" s="14" t="s">
        <v>307</v>
      </c>
      <c r="B2" s="15"/>
      <c r="C2" s="15"/>
      <c r="D2" s="15"/>
      <c r="E2" s="15"/>
      <c r="F2" s="15"/>
      <c r="G2" s="17"/>
      <c r="H2" s="15"/>
      <c r="I2" s="15"/>
      <c r="J2" s="15"/>
      <c r="K2" s="740"/>
      <c r="L2" s="15"/>
    </row>
    <row r="3" spans="1:14" ht="13">
      <c r="A3" s="19" t="s">
        <v>265</v>
      </c>
      <c r="B3" s="21">
        <v>640</v>
      </c>
      <c r="C3" s="23">
        <v>8</v>
      </c>
      <c r="D3" s="25">
        <v>2.8</v>
      </c>
      <c r="E3" s="27">
        <v>102</v>
      </c>
      <c r="F3" s="29">
        <v>83</v>
      </c>
      <c r="G3" s="33" t="s">
        <v>26</v>
      </c>
      <c r="H3" s="35">
        <v>6.7000000000000004E-2</v>
      </c>
      <c r="I3" s="37">
        <v>20</v>
      </c>
      <c r="J3" s="35">
        <v>6</v>
      </c>
      <c r="K3" s="162" t="s">
        <v>128</v>
      </c>
      <c r="L3" s="47"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M3" s="56"/>
    </row>
    <row r="4" spans="1:14" ht="13">
      <c r="A4" s="66" t="s">
        <v>266</v>
      </c>
      <c r="B4" s="50">
        <v>180</v>
      </c>
      <c r="C4" s="68">
        <v>16</v>
      </c>
      <c r="D4" s="52">
        <v>3.5</v>
      </c>
      <c r="E4" s="78">
        <v>59</v>
      </c>
      <c r="F4" s="51">
        <v>31</v>
      </c>
      <c r="G4" s="57" t="s">
        <v>26</v>
      </c>
      <c r="H4" s="59">
        <v>0.14000000000000001</v>
      </c>
      <c r="I4" s="71">
        <v>20</v>
      </c>
      <c r="J4" s="59">
        <v>6</v>
      </c>
      <c r="K4" s="81" t="s">
        <v>125</v>
      </c>
      <c r="L4" s="69"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row>
    <row r="5" spans="1:14" ht="13">
      <c r="A5" s="19" t="s">
        <v>267</v>
      </c>
      <c r="B5" s="21">
        <v>250</v>
      </c>
      <c r="C5" s="23">
        <v>18</v>
      </c>
      <c r="D5" s="25">
        <v>3.5</v>
      </c>
      <c r="E5" s="95">
        <v>75</v>
      </c>
      <c r="F5" s="29">
        <v>42</v>
      </c>
      <c r="G5" s="33">
        <v>49</v>
      </c>
      <c r="H5" s="35"/>
      <c r="I5" s="37">
        <v>25</v>
      </c>
      <c r="J5" s="35">
        <v>6</v>
      </c>
      <c r="K5" s="162" t="s">
        <v>132</v>
      </c>
      <c r="L5" s="47"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M5" s="56" t="s">
        <v>269</v>
      </c>
    </row>
    <row r="6" spans="1:14" ht="13">
      <c r="A6" s="66" t="s">
        <v>268</v>
      </c>
      <c r="B6" s="50">
        <v>250</v>
      </c>
      <c r="C6" s="68">
        <v>21</v>
      </c>
      <c r="D6" s="106">
        <v>2</v>
      </c>
      <c r="E6" s="108">
        <v>58</v>
      </c>
      <c r="F6" s="109">
        <v>44</v>
      </c>
      <c r="G6" s="57">
        <v>55</v>
      </c>
      <c r="H6" s="59">
        <v>0.1</v>
      </c>
      <c r="I6" s="71">
        <v>20</v>
      </c>
      <c r="J6" s="59">
        <v>6</v>
      </c>
      <c r="K6" s="742" t="s">
        <v>132</v>
      </c>
      <c r="L6" s="69"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M6" s="77"/>
    </row>
    <row r="7" spans="1:14" ht="13">
      <c r="A7" s="58" t="s">
        <v>270</v>
      </c>
      <c r="B7" s="60">
        <v>185</v>
      </c>
      <c r="C7" s="62">
        <v>21</v>
      </c>
      <c r="D7" s="64">
        <v>3.5</v>
      </c>
      <c r="E7" s="65">
        <v>59</v>
      </c>
      <c r="F7" s="103">
        <v>31</v>
      </c>
      <c r="G7" s="72">
        <v>49</v>
      </c>
      <c r="H7" s="74">
        <v>0.14000000000000001</v>
      </c>
      <c r="I7" s="84">
        <v>20</v>
      </c>
      <c r="J7" s="74">
        <v>6</v>
      </c>
      <c r="K7" s="743" t="s">
        <v>127</v>
      </c>
      <c r="L7" s="79"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M7" s="772"/>
    </row>
    <row r="8" spans="1:14" ht="13">
      <c r="A8" s="744" t="s">
        <v>271</v>
      </c>
      <c r="B8" s="21">
        <v>505</v>
      </c>
      <c r="C8" s="23">
        <v>24</v>
      </c>
      <c r="D8" s="25">
        <v>2</v>
      </c>
      <c r="E8" s="122">
        <v>59</v>
      </c>
      <c r="F8" s="123">
        <v>48</v>
      </c>
      <c r="G8" s="33">
        <v>55</v>
      </c>
      <c r="H8" s="35">
        <v>0.12</v>
      </c>
      <c r="I8" s="37">
        <v>25</v>
      </c>
      <c r="J8" s="35">
        <v>6</v>
      </c>
      <c r="K8" s="745" t="s">
        <v>140</v>
      </c>
      <c r="L8" s="47"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M8" s="130"/>
    </row>
    <row r="9" spans="1:14" ht="13">
      <c r="A9" s="746" t="s">
        <v>272</v>
      </c>
      <c r="B9" s="133">
        <v>185</v>
      </c>
      <c r="C9" s="135">
        <v>24</v>
      </c>
      <c r="D9" s="137">
        <v>2.8</v>
      </c>
      <c r="E9" s="139">
        <v>52</v>
      </c>
      <c r="F9" s="141">
        <v>31</v>
      </c>
      <c r="G9" s="145">
        <v>49</v>
      </c>
      <c r="H9" s="146">
        <v>8.3000000000000004E-2</v>
      </c>
      <c r="I9" s="147">
        <v>25</v>
      </c>
      <c r="J9" s="146">
        <v>6</v>
      </c>
      <c r="K9" s="747" t="s">
        <v>273</v>
      </c>
      <c r="L9" s="154"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M9" s="130"/>
    </row>
    <row r="10" spans="1:14" ht="13">
      <c r="A10" s="748" t="s">
        <v>274</v>
      </c>
      <c r="B10" s="50">
        <v>523</v>
      </c>
      <c r="C10" s="68">
        <v>24</v>
      </c>
      <c r="D10" s="52">
        <v>3.5</v>
      </c>
      <c r="E10" s="78">
        <v>84</v>
      </c>
      <c r="F10" s="51">
        <v>75</v>
      </c>
      <c r="G10" s="749" t="s">
        <v>26</v>
      </c>
      <c r="H10" s="59">
        <v>0.19</v>
      </c>
      <c r="I10" s="71">
        <v>35</v>
      </c>
      <c r="J10" s="750" t="s">
        <v>275</v>
      </c>
      <c r="K10" s="81" t="s">
        <v>43</v>
      </c>
      <c r="L10" s="6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row>
    <row r="11" spans="1:14" ht="13">
      <c r="A11" s="744" t="s">
        <v>276</v>
      </c>
      <c r="B11" s="21">
        <v>245</v>
      </c>
      <c r="C11" s="23">
        <v>28</v>
      </c>
      <c r="D11" s="25">
        <v>2</v>
      </c>
      <c r="E11" s="122">
        <v>52</v>
      </c>
      <c r="F11" s="123">
        <v>43</v>
      </c>
      <c r="G11" s="33">
        <v>49</v>
      </c>
      <c r="H11" s="35">
        <v>0.19</v>
      </c>
      <c r="I11" s="37">
        <v>30</v>
      </c>
      <c r="J11" s="35">
        <v>6</v>
      </c>
      <c r="K11" s="745" t="s">
        <v>91</v>
      </c>
      <c r="L11" s="47"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M11" s="130"/>
    </row>
    <row r="12" spans="1:14" ht="13">
      <c r="A12" s="746" t="s">
        <v>277</v>
      </c>
      <c r="B12" s="133">
        <v>180</v>
      </c>
      <c r="C12" s="135">
        <v>28</v>
      </c>
      <c r="D12" s="137">
        <v>3.5</v>
      </c>
      <c r="E12" s="164">
        <v>52</v>
      </c>
      <c r="F12" s="166">
        <v>31</v>
      </c>
      <c r="G12" s="145">
        <v>49</v>
      </c>
      <c r="H12" s="146">
        <v>0.19</v>
      </c>
      <c r="I12" s="147">
        <v>30</v>
      </c>
      <c r="J12" s="146">
        <v>6</v>
      </c>
      <c r="K12" s="747" t="s">
        <v>127</v>
      </c>
      <c r="L12" s="154"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M12" s="130"/>
      <c r="N12" s="160"/>
    </row>
    <row r="13" spans="1:14" ht="13">
      <c r="A13" s="748" t="s">
        <v>278</v>
      </c>
      <c r="B13" s="50">
        <v>170</v>
      </c>
      <c r="C13" s="68">
        <v>28</v>
      </c>
      <c r="D13" s="52">
        <v>2.8</v>
      </c>
      <c r="E13" s="78">
        <v>52</v>
      </c>
      <c r="F13" s="51">
        <v>32</v>
      </c>
      <c r="G13" s="57">
        <v>49</v>
      </c>
      <c r="H13" s="59">
        <v>0.1</v>
      </c>
      <c r="I13" s="71">
        <v>25</v>
      </c>
      <c r="J13" s="59">
        <v>6</v>
      </c>
      <c r="K13" s="742" t="s">
        <v>279</v>
      </c>
      <c r="L13" s="6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row>
    <row r="14" spans="1:14" ht="13">
      <c r="A14" s="744" t="s">
        <v>280</v>
      </c>
      <c r="B14" s="21">
        <v>240</v>
      </c>
      <c r="C14" s="23">
        <v>35</v>
      </c>
      <c r="D14" s="25">
        <v>2</v>
      </c>
      <c r="E14" s="122">
        <v>59</v>
      </c>
      <c r="F14" s="123">
        <v>43</v>
      </c>
      <c r="G14" s="33">
        <v>55</v>
      </c>
      <c r="H14" s="35">
        <v>0.09</v>
      </c>
      <c r="I14" s="37">
        <v>30</v>
      </c>
      <c r="J14" s="35">
        <v>6</v>
      </c>
      <c r="K14" s="745" t="s">
        <v>273</v>
      </c>
      <c r="L14" s="174"/>
      <c r="M14" s="130"/>
    </row>
    <row r="15" spans="1:14" ht="15.75" customHeight="1">
      <c r="A15" s="751" t="s">
        <v>281</v>
      </c>
      <c r="B15" s="50">
        <v>170</v>
      </c>
      <c r="C15" s="68">
        <v>35</v>
      </c>
      <c r="D15" s="177">
        <v>2.8</v>
      </c>
      <c r="E15" s="78">
        <v>59</v>
      </c>
      <c r="F15" s="51">
        <v>33</v>
      </c>
      <c r="G15" s="57">
        <v>49</v>
      </c>
      <c r="H15" s="59">
        <v>0.14000000000000001</v>
      </c>
      <c r="I15" s="71">
        <v>30</v>
      </c>
      <c r="J15" s="59">
        <v>6</v>
      </c>
      <c r="K15" s="742" t="s">
        <v>282</v>
      </c>
      <c r="L15" s="69"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M15" s="77"/>
    </row>
    <row r="16" spans="1:14" ht="13">
      <c r="A16" s="752" t="s">
        <v>283</v>
      </c>
      <c r="B16" s="60">
        <v>775</v>
      </c>
      <c r="C16" s="62">
        <v>40</v>
      </c>
      <c r="D16" s="100">
        <v>2</v>
      </c>
      <c r="E16" s="65">
        <v>60</v>
      </c>
      <c r="F16" s="67">
        <v>25</v>
      </c>
      <c r="G16" s="72">
        <v>49</v>
      </c>
      <c r="H16" s="74">
        <v>0.12</v>
      </c>
      <c r="I16" s="84">
        <v>30</v>
      </c>
      <c r="J16" s="74">
        <v>6</v>
      </c>
      <c r="K16" s="743" t="s">
        <v>279</v>
      </c>
      <c r="L16" s="79"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M16" s="773" t="s">
        <v>308</v>
      </c>
    </row>
    <row r="17" spans="1:13" ht="13">
      <c r="A17" s="752" t="s">
        <v>284</v>
      </c>
      <c r="B17" s="60">
        <v>373</v>
      </c>
      <c r="C17" s="754">
        <v>50</v>
      </c>
      <c r="D17" s="173">
        <v>1.2</v>
      </c>
      <c r="E17" s="181">
        <v>65</v>
      </c>
      <c r="F17" s="182">
        <v>43</v>
      </c>
      <c r="G17" s="72">
        <v>49</v>
      </c>
      <c r="H17" s="74">
        <v>0.2</v>
      </c>
      <c r="I17" s="84">
        <v>45</v>
      </c>
      <c r="J17" s="74">
        <v>8</v>
      </c>
      <c r="K17" s="743" t="s">
        <v>282</v>
      </c>
      <c r="L17" s="121"/>
    </row>
    <row r="18" spans="1:13" ht="13">
      <c r="A18" s="753" t="s">
        <v>285</v>
      </c>
      <c r="B18" s="60">
        <v>230</v>
      </c>
      <c r="C18" s="62">
        <v>50</v>
      </c>
      <c r="D18" s="173">
        <v>1.4</v>
      </c>
      <c r="E18" s="187">
        <v>60</v>
      </c>
      <c r="F18" s="188">
        <v>40</v>
      </c>
      <c r="G18" s="72">
        <v>49</v>
      </c>
      <c r="H18" s="74">
        <v>0.1</v>
      </c>
      <c r="I18" s="84">
        <v>45</v>
      </c>
      <c r="J18" s="74">
        <v>8</v>
      </c>
      <c r="K18" s="743" t="s">
        <v>282</v>
      </c>
      <c r="L18" s="79"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row>
    <row r="19" spans="1:13" ht="13">
      <c r="A19" s="744" t="s">
        <v>286</v>
      </c>
      <c r="B19" s="21">
        <v>170</v>
      </c>
      <c r="C19" s="23">
        <v>50</v>
      </c>
      <c r="D19" s="190">
        <v>1.8</v>
      </c>
      <c r="E19" s="191">
        <v>61</v>
      </c>
      <c r="F19" s="193">
        <v>32</v>
      </c>
      <c r="G19" s="33">
        <v>49</v>
      </c>
      <c r="H19" s="35">
        <v>0.1</v>
      </c>
      <c r="I19" s="37">
        <v>45</v>
      </c>
      <c r="J19" s="35">
        <v>6</v>
      </c>
      <c r="K19" s="745" t="s">
        <v>261</v>
      </c>
      <c r="L19" s="47"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M19" s="130"/>
    </row>
    <row r="20" spans="1:13" ht="13">
      <c r="A20" s="755" t="s">
        <v>287</v>
      </c>
      <c r="B20" s="60">
        <v>320</v>
      </c>
      <c r="C20" s="62">
        <v>50</v>
      </c>
      <c r="D20" s="64">
        <v>2</v>
      </c>
      <c r="E20" s="199">
        <v>69</v>
      </c>
      <c r="F20" s="200">
        <v>55</v>
      </c>
      <c r="G20" s="72">
        <v>55</v>
      </c>
      <c r="H20" s="201">
        <v>0.5</v>
      </c>
      <c r="I20" s="84">
        <v>24</v>
      </c>
      <c r="J20" s="74">
        <v>6</v>
      </c>
      <c r="K20" s="743" t="s">
        <v>288</v>
      </c>
      <c r="L20" s="79" t="e">
        <f>HYPERLINK("http://rover.ebay.com/rover/1/711-53200-19255-0/1?icep_ff3=9&amp;pub=5575076376&amp;toolid=10001&amp;campid=5338573609&amp;customid=&amp;icep_uq=tamron+20+2.8+osd+&amp;icep_sellerId=&amp;icep_ex_kw=&amp;icep_sortBy=12&amp;icep_catId=3323&amp;icep_minPrice=&amp;icep_maxPrice=&amp;ipn=psmain&amp;icep_vectori"&amp;"d=229466&amp;kwid=902099&amp;mtid=824&amp;kw=lg","link*")</f>
        <v>#VALUE!</v>
      </c>
    </row>
    <row r="21" spans="1:13" ht="13">
      <c r="A21" s="748" t="s">
        <v>289</v>
      </c>
      <c r="B21" s="50">
        <v>200</v>
      </c>
      <c r="C21" s="68">
        <v>50</v>
      </c>
      <c r="D21" s="206">
        <v>3.5</v>
      </c>
      <c r="E21" s="194">
        <v>60</v>
      </c>
      <c r="F21" s="195">
        <v>40</v>
      </c>
      <c r="G21" s="57">
        <v>49</v>
      </c>
      <c r="H21" s="59">
        <v>0.5</v>
      </c>
      <c r="I21" s="71">
        <v>23</v>
      </c>
      <c r="J21" s="59">
        <v>6</v>
      </c>
      <c r="K21" s="742" t="s">
        <v>290</v>
      </c>
      <c r="L21" s="69"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row>
    <row r="22" spans="1:13" ht="13">
      <c r="A22" s="753" t="s">
        <v>291</v>
      </c>
      <c r="B22" s="60">
        <v>310</v>
      </c>
      <c r="C22" s="62">
        <v>55</v>
      </c>
      <c r="D22" s="64">
        <v>1.2</v>
      </c>
      <c r="E22" s="194">
        <v>65</v>
      </c>
      <c r="F22" s="195">
        <v>47</v>
      </c>
      <c r="G22" s="72">
        <v>55</v>
      </c>
      <c r="H22" s="74">
        <v>0.13</v>
      </c>
      <c r="I22" s="84">
        <v>45</v>
      </c>
      <c r="J22" s="74">
        <v>6</v>
      </c>
      <c r="K22" s="743" t="s">
        <v>282</v>
      </c>
      <c r="L22" s="79"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row>
    <row r="23" spans="1:13" ht="13">
      <c r="A23" s="756" t="s">
        <v>292</v>
      </c>
      <c r="B23" s="21">
        <v>260</v>
      </c>
      <c r="C23" s="23">
        <v>85</v>
      </c>
      <c r="D23" s="25">
        <v>2</v>
      </c>
      <c r="E23" s="221">
        <v>60</v>
      </c>
      <c r="F23" s="193">
        <v>46</v>
      </c>
      <c r="G23" s="33">
        <v>49</v>
      </c>
      <c r="H23" s="222"/>
      <c r="I23" s="37">
        <v>85</v>
      </c>
      <c r="J23" s="35">
        <v>6</v>
      </c>
      <c r="K23" s="745" t="s">
        <v>261</v>
      </c>
      <c r="L23" s="47"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M23" s="130"/>
    </row>
    <row r="24" spans="1:13" ht="13">
      <c r="A24" s="748" t="s">
        <v>293</v>
      </c>
      <c r="B24" s="50">
        <v>260</v>
      </c>
      <c r="C24" s="68">
        <v>85</v>
      </c>
      <c r="D24" s="206">
        <v>2</v>
      </c>
      <c r="E24" s="194">
        <v>60</v>
      </c>
      <c r="F24" s="195">
        <v>48</v>
      </c>
      <c r="G24" s="57">
        <v>49</v>
      </c>
      <c r="H24" s="59">
        <v>0.17</v>
      </c>
      <c r="I24" s="71">
        <v>85</v>
      </c>
      <c r="J24" s="59">
        <v>6</v>
      </c>
      <c r="K24" s="742" t="s">
        <v>290</v>
      </c>
      <c r="L24" s="69" t="e">
        <f>HYPERLINK("http://rover.ebay.com/rover/1/711-53200-19255-0/1?icep_ff3=9&amp;pub=5575076376&amp;toolid=10001&amp;campid=5338573609&amp;customid=&amp;icep_uq=sony+gm+24mm&amp;icep_sellerId=&amp;icep_ex_kw=&amp;icep_sortBy=12&amp;icep_catId=3323&amp;icep_minPrice=&amp;icep_maxPrice=&amp;ipn=psmain&amp;icep_vectorid=2294"&amp;"66&amp;kwid=902099&amp;mtid=824&amp;kw=lg","link*")</f>
        <v>#VALUE!</v>
      </c>
      <c r="M24" s="773" t="s">
        <v>309</v>
      </c>
    </row>
    <row r="25" spans="1:13" ht="13">
      <c r="A25" s="752" t="s">
        <v>294</v>
      </c>
      <c r="B25" s="60">
        <v>100</v>
      </c>
      <c r="C25" s="62">
        <v>100</v>
      </c>
      <c r="D25" s="192">
        <v>2</v>
      </c>
      <c r="E25" s="194">
        <v>70</v>
      </c>
      <c r="F25" s="232">
        <v>72</v>
      </c>
      <c r="G25" s="72">
        <v>55</v>
      </c>
      <c r="H25" s="74">
        <v>0.19</v>
      </c>
      <c r="I25" s="84">
        <v>70</v>
      </c>
      <c r="J25" s="74">
        <v>8</v>
      </c>
      <c r="K25" s="743" t="s">
        <v>282</v>
      </c>
      <c r="L25" s="79"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M25" s="772"/>
    </row>
    <row r="26" spans="1:13" ht="13">
      <c r="A26" s="753" t="s">
        <v>295</v>
      </c>
      <c r="B26" s="60">
        <v>230</v>
      </c>
      <c r="C26" s="62">
        <v>100</v>
      </c>
      <c r="D26" s="64">
        <v>2.8</v>
      </c>
      <c r="E26" s="194">
        <v>60</v>
      </c>
      <c r="F26" s="176">
        <v>48</v>
      </c>
      <c r="G26" s="72">
        <v>49</v>
      </c>
      <c r="H26" s="74">
        <v>0.15</v>
      </c>
      <c r="I26" s="84">
        <v>100</v>
      </c>
      <c r="J26" s="74">
        <v>6</v>
      </c>
      <c r="K26" s="743" t="s">
        <v>296</v>
      </c>
      <c r="L26"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row>
    <row r="27" spans="1:13" ht="13">
      <c r="A27" s="757" t="s">
        <v>297</v>
      </c>
      <c r="B27" s="60">
        <v>360</v>
      </c>
      <c r="C27" s="62">
        <v>135</v>
      </c>
      <c r="D27" s="64">
        <v>2.8</v>
      </c>
      <c r="E27" s="199">
        <v>61</v>
      </c>
      <c r="F27" s="200">
        <v>80</v>
      </c>
      <c r="G27" s="72">
        <v>55</v>
      </c>
      <c r="H27" s="201">
        <v>0.25</v>
      </c>
      <c r="I27" s="84">
        <v>150</v>
      </c>
      <c r="J27" s="74">
        <v>6</v>
      </c>
      <c r="K27" s="743" t="s">
        <v>296</v>
      </c>
      <c r="L27" s="79" t="e">
        <f>HYPERLINK("http://rover.ebay.com/rover/1/711-53200-19255-0/1?icep_ff3=9&amp;pub=5575076376&amp;toolid=10001&amp;campid=5338573609&amp;customid=&amp;icep_uq=tamron+24+2.8+osd+&amp;icep_sellerId=&amp;icep_ex_kw=&amp;icep_sortBy=12&amp;icep_catId=3323&amp;icep_minPrice=&amp;icep_maxPrice=&amp;ipn=psmain&amp;icep_vectori"&amp;"d=229466&amp;kwid=902099&amp;mtid=824&amp;kw=lg","link*")</f>
        <v>#VALUE!</v>
      </c>
    </row>
    <row r="28" spans="1:13" ht="13">
      <c r="A28" s="757" t="s">
        <v>298</v>
      </c>
      <c r="B28" s="60">
        <v>290</v>
      </c>
      <c r="C28" s="62">
        <v>135</v>
      </c>
      <c r="D28" s="64">
        <v>3.5</v>
      </c>
      <c r="E28" s="194">
        <v>60</v>
      </c>
      <c r="F28" s="176">
        <v>73</v>
      </c>
      <c r="G28" s="72">
        <v>49</v>
      </c>
      <c r="H28" s="201">
        <v>0.25</v>
      </c>
      <c r="I28" s="84">
        <v>150</v>
      </c>
      <c r="J28" s="74">
        <v>6</v>
      </c>
      <c r="K28" s="743" t="s">
        <v>290</v>
      </c>
      <c r="L28"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row>
    <row r="29" spans="1:13" ht="13">
      <c r="A29" s="755" t="s">
        <v>299</v>
      </c>
      <c r="B29" s="60">
        <v>1900</v>
      </c>
      <c r="C29" s="62">
        <v>180</v>
      </c>
      <c r="D29" s="64">
        <v>2</v>
      </c>
      <c r="E29" s="199">
        <v>113</v>
      </c>
      <c r="F29" s="200">
        <v>174</v>
      </c>
      <c r="G29" s="758" t="s">
        <v>26</v>
      </c>
      <c r="H29" s="201">
        <v>0.28999999999999998</v>
      </c>
      <c r="I29" s="84">
        <v>160</v>
      </c>
      <c r="J29" s="74">
        <v>8</v>
      </c>
      <c r="K29" s="743" t="s">
        <v>140</v>
      </c>
      <c r="L29" s="121" t="s">
        <v>51</v>
      </c>
    </row>
    <row r="30" spans="1:13" ht="13">
      <c r="A30" s="752" t="s">
        <v>300</v>
      </c>
      <c r="B30" s="60">
        <v>700</v>
      </c>
      <c r="C30" s="62">
        <v>180</v>
      </c>
      <c r="D30" s="64">
        <v>2.8</v>
      </c>
      <c r="E30" s="194">
        <v>81</v>
      </c>
      <c r="F30" s="176">
        <v>125</v>
      </c>
      <c r="G30" s="72">
        <v>72</v>
      </c>
      <c r="H30" s="201">
        <v>0.27</v>
      </c>
      <c r="I30" s="84">
        <v>200</v>
      </c>
      <c r="J30" s="74">
        <v>6</v>
      </c>
      <c r="K30" s="743" t="s">
        <v>296</v>
      </c>
      <c r="L30"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row>
    <row r="31" spans="1:13" ht="13">
      <c r="A31" s="752" t="s">
        <v>301</v>
      </c>
      <c r="B31" s="60">
        <v>490</v>
      </c>
      <c r="C31" s="62">
        <v>200</v>
      </c>
      <c r="D31" s="64">
        <v>4</v>
      </c>
      <c r="E31" s="194">
        <v>67</v>
      </c>
      <c r="F31" s="195">
        <v>127</v>
      </c>
      <c r="G31" s="72">
        <v>55</v>
      </c>
      <c r="H31" s="201">
        <v>0.31</v>
      </c>
      <c r="I31" s="84">
        <v>250</v>
      </c>
      <c r="J31" s="74">
        <v>6</v>
      </c>
      <c r="K31" s="136" t="s">
        <v>290</v>
      </c>
      <c r="L31"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row>
    <row r="32" spans="1:13" ht="13">
      <c r="A32" s="759" t="s">
        <v>302</v>
      </c>
      <c r="B32" s="21">
        <v>426</v>
      </c>
      <c r="C32" s="23">
        <v>200</v>
      </c>
      <c r="D32" s="25">
        <v>4</v>
      </c>
      <c r="E32" s="760" t="s">
        <v>101</v>
      </c>
      <c r="F32" s="237">
        <v>105</v>
      </c>
      <c r="G32" s="33">
        <v>49</v>
      </c>
      <c r="H32" s="35">
        <v>0.2</v>
      </c>
      <c r="I32" s="37">
        <v>250</v>
      </c>
      <c r="J32" s="35">
        <v>6</v>
      </c>
      <c r="K32" s="162" t="s">
        <v>261</v>
      </c>
      <c r="L32" s="47"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M32" s="774" t="s">
        <v>310</v>
      </c>
    </row>
    <row r="33" spans="1:13" ht="13">
      <c r="A33" s="761" t="s">
        <v>303</v>
      </c>
      <c r="B33" s="50">
        <v>3900</v>
      </c>
      <c r="C33" s="68">
        <v>250</v>
      </c>
      <c r="D33" s="52">
        <v>2</v>
      </c>
      <c r="E33" s="194">
        <v>142</v>
      </c>
      <c r="F33" s="195">
        <v>246</v>
      </c>
      <c r="G33" s="57" t="s">
        <v>26</v>
      </c>
      <c r="H33" s="59">
        <v>0.19</v>
      </c>
      <c r="I33" s="71">
        <v>220</v>
      </c>
      <c r="J33" s="59">
        <v>8</v>
      </c>
      <c r="K33" s="81" t="s">
        <v>50</v>
      </c>
      <c r="L33" s="6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row>
    <row r="34" spans="1:13" ht="13">
      <c r="A34" s="19" t="s">
        <v>303</v>
      </c>
      <c r="B34" s="21">
        <v>393</v>
      </c>
      <c r="C34" s="23">
        <v>25</v>
      </c>
      <c r="D34" s="25">
        <v>2.4</v>
      </c>
      <c r="E34" s="221">
        <v>62</v>
      </c>
      <c r="F34" s="237">
        <v>75</v>
      </c>
      <c r="G34" s="33">
        <v>52</v>
      </c>
      <c r="H34" s="35">
        <v>0.16</v>
      </c>
      <c r="I34" s="37">
        <v>25</v>
      </c>
      <c r="J34" s="35">
        <v>10</v>
      </c>
      <c r="K34" s="162" t="s">
        <v>140</v>
      </c>
      <c r="L34" s="47" t="e">
        <f>HYPERLINK("http://rover.ebay.com/rover/1/711-53200-19255-0/1?icep_ff3=9&amp;pub=5575076376&amp;toolid=10001&amp;campid=5338573609&amp;customid=&amp;icep_uq=Zeiss+loxia+25mm&amp;icep_sellerId=&amp;icep_ex_kw=&amp;icep_sortBy=12&amp;icep_catId=3323&amp;icep_minPrice=&amp;icep_maxPrice=&amp;ipn=psmain&amp;icep_vectorid="&amp;"229466&amp;kwid=902099&amp;mtid=824&amp;kw=lg","link*")</f>
        <v>#VALUE!</v>
      </c>
      <c r="M34" s="130"/>
    </row>
    <row r="35" spans="1:13" ht="13">
      <c r="A35" s="66" t="s">
        <v>305</v>
      </c>
      <c r="B35" s="50">
        <v>1000</v>
      </c>
      <c r="C35" s="68">
        <v>300</v>
      </c>
      <c r="D35" s="52">
        <v>4.5</v>
      </c>
      <c r="E35" s="194">
        <v>80</v>
      </c>
      <c r="F35" s="195">
        <v>181</v>
      </c>
      <c r="G35" s="57">
        <v>72</v>
      </c>
      <c r="H35" s="59">
        <v>0.19</v>
      </c>
      <c r="I35" s="71">
        <v>350</v>
      </c>
      <c r="J35" s="59">
        <v>6</v>
      </c>
      <c r="K35" s="81" t="s">
        <v>304</v>
      </c>
      <c r="L35" s="69"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row>
    <row r="36" spans="1:13" ht="13">
      <c r="A36" s="762" t="s">
        <v>306</v>
      </c>
      <c r="B36" s="60">
        <v>3900</v>
      </c>
      <c r="C36" s="62">
        <v>350</v>
      </c>
      <c r="D36" s="64">
        <v>2.8</v>
      </c>
      <c r="E36" s="194">
        <v>142</v>
      </c>
      <c r="F36" s="195">
        <v>280</v>
      </c>
      <c r="G36" s="72" t="s">
        <v>26</v>
      </c>
      <c r="H36" s="74">
        <v>0.13</v>
      </c>
      <c r="I36" s="84">
        <v>300</v>
      </c>
      <c r="J36" s="74">
        <v>8</v>
      </c>
      <c r="K36" s="136" t="s">
        <v>288</v>
      </c>
      <c r="L36" s="79" t="e">
        <f>HYPERLINK("http://rover.ebay.com/rover/1/711-53200-19255-0/1?icep_ff3=10&amp;pub=5575076376&amp;toolid=10001&amp;campid=5338164340&amp;customid=&amp;icep_uq=sony+28+f2&amp;icep_sellerId=&amp;icep_ex_kw=&amp;icep_sortBy=12&amp;icep_catId=&amp;icep_minPrice=&amp;icep_maxPrice=&amp;ipn=psmain&amp;icep_vectorid=229466&amp;kw"&amp;"id=902099&amp;mtid=824&amp;kw=lg","link*")</f>
        <v>#VALUE!</v>
      </c>
    </row>
    <row r="37" spans="1:13" ht="13">
      <c r="A37" s="225" t="s">
        <v>208</v>
      </c>
      <c r="E37" s="219"/>
      <c r="F37" s="220"/>
      <c r="G37" s="226"/>
      <c r="L37" s="214"/>
    </row>
    <row r="38" spans="1:13" ht="13">
      <c r="G38" s="226"/>
      <c r="L38" s="214"/>
    </row>
    <row r="39" spans="1:13" ht="13">
      <c r="G39" s="226"/>
      <c r="L39" s="214"/>
    </row>
    <row r="40" spans="1:13" ht="15.75" customHeight="1">
      <c r="G40" s="226"/>
      <c r="L40" s="214"/>
    </row>
    <row r="41" spans="1:13" ht="13">
      <c r="G41" s="226"/>
      <c r="L41" s="214"/>
    </row>
    <row r="42" spans="1:13" ht="13">
      <c r="G42" s="226"/>
      <c r="L42" s="214"/>
    </row>
    <row r="43" spans="1:13" ht="13">
      <c r="A43" s="207"/>
      <c r="G43" s="226"/>
      <c r="L43" s="214"/>
    </row>
    <row r="44" spans="1:13" ht="15.75" customHeight="1">
      <c r="A44" s="207"/>
      <c r="G44" s="226"/>
      <c r="L44" s="214"/>
    </row>
    <row r="45" spans="1:13" ht="13">
      <c r="A45" s="207"/>
      <c r="G45" s="226"/>
      <c r="L45" s="214"/>
    </row>
    <row r="46" spans="1:13" ht="13">
      <c r="A46" s="207"/>
      <c r="G46" s="226"/>
      <c r="L46" s="214"/>
    </row>
    <row r="47" spans="1:13" ht="13">
      <c r="A47" s="207"/>
      <c r="G47" s="226"/>
      <c r="L47" s="214"/>
    </row>
    <row r="48" spans="1:13" ht="13">
      <c r="A48" s="207"/>
      <c r="G48" s="226"/>
      <c r="L48" s="214"/>
    </row>
    <row r="49" spans="1:12" ht="13">
      <c r="A49" s="233"/>
      <c r="G49" s="226"/>
      <c r="L49" s="214"/>
    </row>
    <row r="50" spans="1:12" ht="13">
      <c r="A50" s="207"/>
      <c r="G50" s="226"/>
      <c r="L50" s="214"/>
    </row>
    <row r="51" spans="1:12" ht="13">
      <c r="A51" s="207"/>
      <c r="G51" s="226"/>
      <c r="L51" s="214"/>
    </row>
    <row r="52" spans="1:12" ht="13">
      <c r="A52" s="233"/>
      <c r="G52" s="226"/>
      <c r="L52" s="214"/>
    </row>
    <row r="53" spans="1:12" ht="13">
      <c r="A53" s="207"/>
      <c r="G53" s="226"/>
      <c r="L53" s="214"/>
    </row>
    <row r="54" spans="1:12" ht="13">
      <c r="A54" s="207"/>
      <c r="G54" s="226"/>
      <c r="L54" s="214"/>
    </row>
    <row r="55" spans="1:12" ht="13">
      <c r="A55" s="207"/>
      <c r="G55" s="226"/>
      <c r="L55" s="214"/>
    </row>
    <row r="56" spans="1:12" ht="13">
      <c r="A56" s="207"/>
      <c r="G56" s="226"/>
      <c r="L56" s="214"/>
    </row>
    <row r="57" spans="1:12" ht="13">
      <c r="A57" s="207"/>
      <c r="G57" s="226"/>
      <c r="L57" s="214"/>
    </row>
    <row r="58" spans="1:12" ht="13">
      <c r="A58" s="207"/>
      <c r="G58" s="226"/>
      <c r="L58" s="214"/>
    </row>
    <row r="59" spans="1:12" ht="13">
      <c r="A59" s="207"/>
      <c r="G59" s="226"/>
      <c r="L59" s="214"/>
    </row>
    <row r="60" spans="1:12" ht="13">
      <c r="A60" s="207"/>
      <c r="G60" s="226"/>
      <c r="L60" s="214"/>
    </row>
    <row r="61" spans="1:12" ht="13">
      <c r="A61" s="207"/>
      <c r="G61" s="226"/>
      <c r="L61" s="214"/>
    </row>
    <row r="62" spans="1:12" ht="13">
      <c r="A62" s="233"/>
      <c r="G62" s="226"/>
      <c r="L62" s="214"/>
    </row>
    <row r="63" spans="1:12" ht="13">
      <c r="A63" s="233"/>
      <c r="G63" s="226"/>
      <c r="L63" s="214"/>
    </row>
    <row r="64" spans="1:12" ht="13">
      <c r="G64" s="226"/>
      <c r="L64" s="214"/>
    </row>
    <row r="65" spans="7:12" ht="13">
      <c r="G65" s="226"/>
      <c r="L65" s="214"/>
    </row>
    <row r="66" spans="7:12" ht="13">
      <c r="G66" s="226"/>
      <c r="L66" s="214"/>
    </row>
    <row r="67" spans="7:12" ht="13">
      <c r="G67" s="226"/>
      <c r="L67" s="214"/>
    </row>
    <row r="68" spans="7:12" ht="13">
      <c r="G68" s="226"/>
    </row>
    <row r="69" spans="7:12" ht="13">
      <c r="G69" s="226"/>
    </row>
    <row r="70" spans="7:12" ht="13">
      <c r="G70" s="226"/>
    </row>
    <row r="71" spans="7:12" ht="13">
      <c r="G71" s="226"/>
    </row>
    <row r="72" spans="7:12" ht="13">
      <c r="G72" s="226"/>
    </row>
    <row r="73" spans="7:12" ht="13">
      <c r="G73" s="226"/>
    </row>
    <row r="74" spans="7:12" ht="13">
      <c r="G74" s="226"/>
    </row>
    <row r="75" spans="7:12" ht="13">
      <c r="G75" s="226"/>
    </row>
    <row r="76" spans="7:12" ht="13">
      <c r="G76" s="226"/>
    </row>
    <row r="77" spans="7:12" ht="13">
      <c r="G77" s="226"/>
    </row>
    <row r="78" spans="7:12" ht="13">
      <c r="G78" s="226"/>
    </row>
    <row r="79" spans="7:12" ht="13">
      <c r="G79" s="226"/>
    </row>
    <row r="80" spans="7:12" ht="13">
      <c r="G80" s="226"/>
    </row>
    <row r="81" spans="7:7" ht="13">
      <c r="G81" s="226"/>
    </row>
    <row r="82" spans="7:7" ht="13">
      <c r="G82" s="226"/>
    </row>
    <row r="83" spans="7:7" ht="15.75" customHeight="1">
      <c r="G83" s="226"/>
    </row>
    <row r="84" spans="7:7" ht="13">
      <c r="G84" s="226"/>
    </row>
    <row r="85" spans="7:7" ht="13">
      <c r="G85" s="226"/>
    </row>
    <row r="86" spans="7:7" ht="13">
      <c r="G86" s="226"/>
    </row>
    <row r="87" spans="7:7" ht="13">
      <c r="G87" s="226"/>
    </row>
    <row r="88" spans="7:7" ht="13">
      <c r="G88" s="226"/>
    </row>
    <row r="89" spans="7:7" ht="13">
      <c r="G89" s="226"/>
    </row>
    <row r="90" spans="7:7" ht="13">
      <c r="G90" s="226"/>
    </row>
    <row r="91" spans="7:7" ht="13" hidden="1">
      <c r="G91" s="226"/>
    </row>
    <row r="92" spans="7:7" ht="13" hidden="1">
      <c r="G92" s="226"/>
    </row>
    <row r="93" spans="7:7" ht="13" hidden="1">
      <c r="G93" s="226"/>
    </row>
    <row r="94" spans="7:7" ht="13" hidden="1">
      <c r="G94" s="226"/>
    </row>
    <row r="95" spans="7:7" ht="13" hidden="1">
      <c r="G95" s="226"/>
    </row>
    <row r="96" spans="7:7" ht="13" hidden="1">
      <c r="G96" s="226"/>
    </row>
    <row r="97" spans="7:7" ht="13" hidden="1">
      <c r="G97" s="226"/>
    </row>
    <row r="98" spans="7:7" ht="13" hidden="1">
      <c r="G98" s="226"/>
    </row>
    <row r="99" spans="7:7" ht="13" hidden="1">
      <c r="G99" s="226"/>
    </row>
    <row r="100" spans="7:7" ht="13" hidden="1">
      <c r="G100" s="226"/>
    </row>
    <row r="101" spans="7:7" ht="13" hidden="1">
      <c r="G101" s="226"/>
    </row>
    <row r="102" spans="7:7" ht="13" hidden="1">
      <c r="G102" s="226"/>
    </row>
    <row r="103" spans="7:7" ht="13" hidden="1">
      <c r="G103" s="226"/>
    </row>
    <row r="104" spans="7:7" ht="13" hidden="1">
      <c r="G104" s="226"/>
    </row>
    <row r="105" spans="7:7" ht="13" hidden="1">
      <c r="G105" s="226"/>
    </row>
    <row r="106" spans="7:7" ht="13" hidden="1">
      <c r="G106" s="226"/>
    </row>
    <row r="107" spans="7:7" ht="13" hidden="1">
      <c r="G107" s="226"/>
    </row>
    <row r="108" spans="7:7" ht="13" hidden="1">
      <c r="G108" s="226"/>
    </row>
    <row r="109" spans="7:7" ht="13" hidden="1">
      <c r="G109" s="226"/>
    </row>
    <row r="110" spans="7:7" ht="13">
      <c r="G110" s="226"/>
    </row>
    <row r="111" spans="7:7" ht="13">
      <c r="G111" s="226"/>
    </row>
    <row r="112" spans="7:7" ht="13">
      <c r="G112" s="226"/>
    </row>
    <row r="113" spans="7:7" ht="13">
      <c r="G113" s="226"/>
    </row>
    <row r="114" spans="7:7" ht="13">
      <c r="G114" s="226"/>
    </row>
    <row r="115" spans="7:7" ht="13">
      <c r="G115" s="226"/>
    </row>
    <row r="116" spans="7:7" ht="13">
      <c r="G116" s="226"/>
    </row>
    <row r="117" spans="7:7" ht="13">
      <c r="G117" s="226"/>
    </row>
    <row r="118" spans="7:7" ht="13">
      <c r="G118" s="226"/>
    </row>
    <row r="119" spans="7:7" ht="13">
      <c r="G119" s="226"/>
    </row>
    <row r="120" spans="7:7" ht="13">
      <c r="G120" s="226"/>
    </row>
    <row r="121" spans="7:7" ht="13">
      <c r="G121" s="226"/>
    </row>
    <row r="122" spans="7:7" ht="13">
      <c r="G122" s="226"/>
    </row>
    <row r="123" spans="7:7" ht="13">
      <c r="G123" s="226"/>
    </row>
    <row r="124" spans="7:7" ht="13">
      <c r="G124" s="226"/>
    </row>
    <row r="125" spans="7:7" ht="13">
      <c r="G125" s="226"/>
    </row>
    <row r="126" spans="7:7" ht="13">
      <c r="G126" s="226"/>
    </row>
    <row r="127" spans="7:7" ht="13">
      <c r="G127" s="226"/>
    </row>
    <row r="128" spans="7:7" ht="13">
      <c r="G128" s="226"/>
    </row>
    <row r="129" spans="7:7" ht="13">
      <c r="G129" s="226"/>
    </row>
    <row r="130" spans="7:7" ht="13">
      <c r="G130" s="226"/>
    </row>
    <row r="131" spans="7:7" ht="13">
      <c r="G131" s="226"/>
    </row>
    <row r="132" spans="7:7" ht="13">
      <c r="G132" s="226"/>
    </row>
    <row r="133" spans="7:7" ht="13">
      <c r="G133" s="226"/>
    </row>
    <row r="134" spans="7:7" ht="13">
      <c r="G134" s="226"/>
    </row>
    <row r="135" spans="7:7" ht="13">
      <c r="G135" s="226"/>
    </row>
    <row r="136" spans="7:7" ht="13">
      <c r="G136" s="226"/>
    </row>
    <row r="137" spans="7:7" ht="13">
      <c r="G137" s="226"/>
    </row>
    <row r="138" spans="7:7" ht="13">
      <c r="G138" s="226"/>
    </row>
    <row r="139" spans="7:7" ht="13">
      <c r="G139" s="226"/>
    </row>
    <row r="140" spans="7:7" ht="13">
      <c r="G140" s="226"/>
    </row>
    <row r="141" spans="7:7" ht="13">
      <c r="G141" s="226"/>
    </row>
    <row r="142" spans="7:7" ht="13">
      <c r="G142" s="226"/>
    </row>
    <row r="143" spans="7:7" ht="13">
      <c r="G143" s="226"/>
    </row>
    <row r="144" spans="7:7" ht="13">
      <c r="G144" s="226"/>
    </row>
    <row r="145" spans="7:7" ht="13">
      <c r="G145" s="226"/>
    </row>
    <row r="146" spans="7:7" ht="13">
      <c r="G146" s="226"/>
    </row>
    <row r="147" spans="7:7" ht="13">
      <c r="G147" s="226"/>
    </row>
    <row r="148" spans="7:7" ht="13">
      <c r="G148" s="226"/>
    </row>
    <row r="149" spans="7:7" ht="13">
      <c r="G149" s="226"/>
    </row>
    <row r="150" spans="7:7" ht="13">
      <c r="G150" s="226"/>
    </row>
    <row r="151" spans="7:7" ht="13">
      <c r="G151" s="226"/>
    </row>
    <row r="152" spans="7:7" ht="13">
      <c r="G152" s="226"/>
    </row>
    <row r="153" spans="7:7" ht="13">
      <c r="G153" s="226"/>
    </row>
    <row r="154" spans="7:7" ht="13">
      <c r="G154" s="226"/>
    </row>
    <row r="155" spans="7:7" ht="13">
      <c r="G155" s="226"/>
    </row>
    <row r="156" spans="7:7" ht="13">
      <c r="G156" s="226"/>
    </row>
    <row r="157" spans="7:7" ht="13">
      <c r="G157" s="226"/>
    </row>
    <row r="158" spans="7:7" ht="13">
      <c r="G158" s="226"/>
    </row>
    <row r="159" spans="7:7" ht="13">
      <c r="G159" s="226"/>
    </row>
    <row r="160" spans="7:7" ht="13">
      <c r="G160" s="226"/>
    </row>
    <row r="161" spans="7:7" ht="13">
      <c r="G161" s="226"/>
    </row>
    <row r="162" spans="7:7" ht="13">
      <c r="G162" s="226"/>
    </row>
    <row r="163" spans="7:7" ht="13">
      <c r="G163" s="226"/>
    </row>
    <row r="164" spans="7:7" ht="13">
      <c r="G164" s="226"/>
    </row>
    <row r="165" spans="7:7" ht="13">
      <c r="G165" s="226"/>
    </row>
    <row r="166" spans="7:7" ht="13">
      <c r="G166" s="226"/>
    </row>
    <row r="167" spans="7:7" ht="13">
      <c r="G167" s="226"/>
    </row>
    <row r="168" spans="7:7" ht="13">
      <c r="G168" s="226"/>
    </row>
    <row r="169" spans="7:7" ht="13">
      <c r="G169" s="226"/>
    </row>
    <row r="170" spans="7:7" ht="13">
      <c r="G170" s="226"/>
    </row>
    <row r="171" spans="7:7" ht="13">
      <c r="G171" s="226"/>
    </row>
    <row r="172" spans="7:7" ht="13">
      <c r="G172" s="226"/>
    </row>
    <row r="173" spans="7:7" ht="13">
      <c r="G173" s="226"/>
    </row>
    <row r="174" spans="7:7" ht="13">
      <c r="G174" s="226"/>
    </row>
    <row r="175" spans="7:7" ht="13">
      <c r="G175" s="226"/>
    </row>
    <row r="176" spans="7:7" ht="13">
      <c r="G176" s="226"/>
    </row>
    <row r="177" spans="7:7" ht="13">
      <c r="G177" s="226"/>
    </row>
    <row r="178" spans="7:7" ht="13">
      <c r="G178" s="226"/>
    </row>
    <row r="179" spans="7:7" ht="13">
      <c r="G179" s="226"/>
    </row>
    <row r="180" spans="7:7" ht="13">
      <c r="G180" s="226"/>
    </row>
    <row r="181" spans="7:7" ht="13">
      <c r="G181" s="226"/>
    </row>
    <row r="182" spans="7:7" ht="13">
      <c r="G182" s="226"/>
    </row>
    <row r="183" spans="7:7" ht="13">
      <c r="G183" s="226"/>
    </row>
    <row r="184" spans="7:7" ht="13">
      <c r="G184" s="226"/>
    </row>
    <row r="185" spans="7:7" ht="13">
      <c r="G185" s="226"/>
    </row>
    <row r="186" spans="7:7" ht="13">
      <c r="G186" s="226"/>
    </row>
    <row r="187" spans="7:7" ht="13">
      <c r="G187" s="226"/>
    </row>
    <row r="188" spans="7:7" ht="13">
      <c r="G188" s="226"/>
    </row>
    <row r="189" spans="7:7" ht="13">
      <c r="G189" s="226"/>
    </row>
    <row r="190" spans="7:7" ht="13">
      <c r="G190" s="226"/>
    </row>
    <row r="191" spans="7:7" ht="13">
      <c r="G191" s="226"/>
    </row>
    <row r="192" spans="7:7" ht="13">
      <c r="G192" s="226"/>
    </row>
    <row r="193" spans="7:7" ht="13">
      <c r="G193" s="226"/>
    </row>
    <row r="194" spans="7:7" ht="13">
      <c r="G194" s="226"/>
    </row>
    <row r="195" spans="7:7" ht="13">
      <c r="G195" s="226"/>
    </row>
    <row r="196" spans="7:7" ht="13">
      <c r="G196" s="226"/>
    </row>
    <row r="197" spans="7:7" ht="13">
      <c r="G197" s="226"/>
    </row>
    <row r="198" spans="7:7" ht="13">
      <c r="G198" s="226"/>
    </row>
    <row r="199" spans="7:7" ht="13">
      <c r="G199" s="226"/>
    </row>
    <row r="200" spans="7:7" ht="13">
      <c r="G200" s="226"/>
    </row>
    <row r="201" spans="7:7" ht="13">
      <c r="G201" s="226"/>
    </row>
    <row r="202" spans="7:7" ht="13">
      <c r="G202" s="226"/>
    </row>
    <row r="203" spans="7:7" ht="13">
      <c r="G203" s="226"/>
    </row>
    <row r="204" spans="7:7" ht="13">
      <c r="G204" s="226"/>
    </row>
    <row r="205" spans="7:7" ht="13">
      <c r="G205" s="226"/>
    </row>
    <row r="206" spans="7:7" ht="13">
      <c r="G206" s="226"/>
    </row>
    <row r="207" spans="7:7" ht="13">
      <c r="G207" s="226"/>
    </row>
    <row r="208" spans="7:7" ht="13">
      <c r="G208" s="226"/>
    </row>
    <row r="209" spans="7:7" ht="13">
      <c r="G209" s="226"/>
    </row>
    <row r="210" spans="7:7" ht="13">
      <c r="G210" s="226"/>
    </row>
    <row r="211" spans="7:7" ht="13">
      <c r="G211" s="226"/>
    </row>
    <row r="212" spans="7:7" ht="13">
      <c r="G212" s="226"/>
    </row>
    <row r="213" spans="7:7" ht="13">
      <c r="G213" s="226"/>
    </row>
    <row r="214" spans="7:7" ht="13">
      <c r="G214" s="226"/>
    </row>
    <row r="215" spans="7:7" ht="13">
      <c r="G215" s="226"/>
    </row>
    <row r="216" spans="7:7" ht="13">
      <c r="G216" s="226"/>
    </row>
    <row r="217" spans="7:7" ht="13">
      <c r="G217" s="226"/>
    </row>
    <row r="218" spans="7:7" ht="13">
      <c r="G218" s="226"/>
    </row>
    <row r="219" spans="7:7" ht="13">
      <c r="G219" s="226"/>
    </row>
    <row r="220" spans="7:7" ht="13">
      <c r="G220" s="226"/>
    </row>
    <row r="221" spans="7:7" ht="13">
      <c r="G221" s="226"/>
    </row>
    <row r="222" spans="7:7" ht="13">
      <c r="G222" s="226"/>
    </row>
    <row r="223" spans="7:7" ht="13">
      <c r="G223" s="226"/>
    </row>
    <row r="224" spans="7:7" ht="13">
      <c r="G224" s="226"/>
    </row>
    <row r="225" spans="7:7" ht="13">
      <c r="G225" s="226"/>
    </row>
    <row r="226" spans="7:7" ht="13">
      <c r="G226" s="226"/>
    </row>
    <row r="227" spans="7:7" ht="13">
      <c r="G227" s="226"/>
    </row>
    <row r="228" spans="7:7" ht="13">
      <c r="G228" s="226"/>
    </row>
    <row r="229" spans="7:7" ht="13">
      <c r="G229" s="226"/>
    </row>
    <row r="230" spans="7:7" ht="13">
      <c r="G230" s="226"/>
    </row>
    <row r="231" spans="7:7" ht="13">
      <c r="G231" s="226"/>
    </row>
    <row r="232" spans="7:7" ht="13">
      <c r="G232" s="226"/>
    </row>
    <row r="233" spans="7:7" ht="13">
      <c r="G233" s="226"/>
    </row>
    <row r="234" spans="7:7" ht="13">
      <c r="G234" s="226"/>
    </row>
    <row r="235" spans="7:7" ht="13">
      <c r="G235" s="226"/>
    </row>
    <row r="236" spans="7:7" ht="13">
      <c r="G236" s="226"/>
    </row>
    <row r="237" spans="7:7" ht="13">
      <c r="G237" s="226"/>
    </row>
    <row r="238" spans="7:7" ht="13">
      <c r="G238" s="226"/>
    </row>
    <row r="239" spans="7:7" ht="13">
      <c r="G239" s="226"/>
    </row>
    <row r="240" spans="7:7" ht="13">
      <c r="G240" s="226"/>
    </row>
    <row r="241" spans="7:7" ht="13">
      <c r="G241" s="226"/>
    </row>
    <row r="242" spans="7:7" ht="13">
      <c r="G242" s="226"/>
    </row>
    <row r="243" spans="7:7" ht="13">
      <c r="G243" s="226"/>
    </row>
    <row r="244" spans="7:7" ht="13">
      <c r="G244" s="226"/>
    </row>
    <row r="245" spans="7:7" ht="13">
      <c r="G245" s="226"/>
    </row>
    <row r="246" spans="7:7" ht="13">
      <c r="G246" s="226"/>
    </row>
    <row r="247" spans="7:7" ht="13">
      <c r="G247" s="226"/>
    </row>
    <row r="248" spans="7:7" ht="13">
      <c r="G248" s="226"/>
    </row>
    <row r="249" spans="7:7" ht="13">
      <c r="G249" s="226"/>
    </row>
    <row r="250" spans="7:7" ht="13">
      <c r="G250" s="226"/>
    </row>
    <row r="251" spans="7:7" ht="13">
      <c r="G251" s="226"/>
    </row>
    <row r="252" spans="7:7" ht="13">
      <c r="G252" s="226"/>
    </row>
    <row r="253" spans="7:7" ht="13">
      <c r="G253" s="226"/>
    </row>
    <row r="254" spans="7:7" ht="13">
      <c r="G254" s="226"/>
    </row>
    <row r="255" spans="7:7" ht="13">
      <c r="G255" s="226"/>
    </row>
    <row r="256" spans="7:7" ht="13">
      <c r="G256" s="226"/>
    </row>
    <row r="257" spans="7:7" ht="13">
      <c r="G257" s="226"/>
    </row>
    <row r="258" spans="7:7" ht="13">
      <c r="G258" s="226"/>
    </row>
    <row r="259" spans="7:7" ht="13">
      <c r="G259" s="226"/>
    </row>
    <row r="260" spans="7:7" ht="13">
      <c r="G260" s="226"/>
    </row>
    <row r="261" spans="7:7" ht="13">
      <c r="G261" s="226"/>
    </row>
    <row r="262" spans="7:7" ht="13">
      <c r="G262" s="226"/>
    </row>
    <row r="263" spans="7:7" ht="13">
      <c r="G263" s="226"/>
    </row>
    <row r="264" spans="7:7" ht="13">
      <c r="G264" s="226"/>
    </row>
    <row r="265" spans="7:7" ht="13">
      <c r="G265" s="226"/>
    </row>
    <row r="266" spans="7:7" ht="13">
      <c r="G266" s="226"/>
    </row>
    <row r="267" spans="7:7" ht="13">
      <c r="G267" s="226"/>
    </row>
    <row r="268" spans="7:7" ht="13">
      <c r="G268" s="226"/>
    </row>
    <row r="269" spans="7:7" ht="13">
      <c r="G269" s="226"/>
    </row>
    <row r="270" spans="7:7" ht="13">
      <c r="G270" s="226"/>
    </row>
    <row r="271" spans="7:7" ht="13">
      <c r="G271" s="226"/>
    </row>
    <row r="272" spans="7:7" ht="13">
      <c r="G272" s="226"/>
    </row>
    <row r="273" spans="7:7" ht="13">
      <c r="G273" s="226"/>
    </row>
    <row r="274" spans="7:7" ht="13">
      <c r="G274" s="226"/>
    </row>
    <row r="275" spans="7:7" ht="13">
      <c r="G275" s="226"/>
    </row>
    <row r="276" spans="7:7" ht="13">
      <c r="G276" s="226"/>
    </row>
    <row r="277" spans="7:7" ht="13">
      <c r="G277" s="226"/>
    </row>
    <row r="278" spans="7:7" ht="13">
      <c r="G278" s="226"/>
    </row>
    <row r="279" spans="7:7" ht="13">
      <c r="G279" s="226"/>
    </row>
    <row r="280" spans="7:7" ht="13">
      <c r="G280" s="226"/>
    </row>
    <row r="281" spans="7:7" ht="13">
      <c r="G281" s="226"/>
    </row>
    <row r="282" spans="7:7" ht="13">
      <c r="G282" s="226"/>
    </row>
    <row r="283" spans="7:7" ht="13">
      <c r="G283" s="226"/>
    </row>
    <row r="284" spans="7:7" ht="13">
      <c r="G284" s="226"/>
    </row>
    <row r="285" spans="7:7" ht="13">
      <c r="G285" s="226"/>
    </row>
    <row r="286" spans="7:7" ht="13">
      <c r="G286" s="226"/>
    </row>
    <row r="287" spans="7:7" ht="13">
      <c r="G287" s="226"/>
    </row>
    <row r="288" spans="7:7" ht="13">
      <c r="G288" s="226"/>
    </row>
    <row r="289" spans="7:7" ht="13">
      <c r="G289" s="226"/>
    </row>
    <row r="290" spans="7:7" ht="13">
      <c r="G290" s="226"/>
    </row>
    <row r="291" spans="7:7" ht="13">
      <c r="G291" s="226"/>
    </row>
    <row r="292" spans="7:7" ht="13">
      <c r="G292" s="226"/>
    </row>
    <row r="293" spans="7:7" ht="13">
      <c r="G293" s="226"/>
    </row>
    <row r="294" spans="7:7" ht="13">
      <c r="G294" s="226"/>
    </row>
    <row r="295" spans="7:7" ht="13">
      <c r="G295" s="226"/>
    </row>
    <row r="296" spans="7:7" ht="13">
      <c r="G296" s="226"/>
    </row>
    <row r="297" spans="7:7" ht="13">
      <c r="G297" s="226"/>
    </row>
    <row r="298" spans="7:7" ht="13">
      <c r="G298" s="226"/>
    </row>
    <row r="299" spans="7:7" ht="13">
      <c r="G299" s="226"/>
    </row>
    <row r="300" spans="7:7" ht="13">
      <c r="G300" s="226"/>
    </row>
    <row r="301" spans="7:7" ht="13">
      <c r="G301" s="226"/>
    </row>
    <row r="302" spans="7:7" ht="13">
      <c r="G302" s="226"/>
    </row>
    <row r="303" spans="7:7" ht="13">
      <c r="G303" s="226"/>
    </row>
    <row r="304" spans="7:7" ht="13">
      <c r="G304" s="226"/>
    </row>
    <row r="305" spans="7:7" ht="13">
      <c r="G305" s="226"/>
    </row>
    <row r="306" spans="7:7" ht="13">
      <c r="G306" s="226"/>
    </row>
    <row r="307" spans="7:7" ht="13">
      <c r="G307" s="226"/>
    </row>
    <row r="308" spans="7:7" ht="13">
      <c r="G308" s="226"/>
    </row>
    <row r="309" spans="7:7" ht="13">
      <c r="G309" s="226"/>
    </row>
    <row r="310" spans="7:7" ht="13">
      <c r="G310" s="226"/>
    </row>
    <row r="311" spans="7:7" ht="13">
      <c r="G311" s="226"/>
    </row>
    <row r="312" spans="7:7" ht="13">
      <c r="G312" s="226"/>
    </row>
    <row r="313" spans="7:7" ht="13">
      <c r="G313" s="226"/>
    </row>
    <row r="314" spans="7:7" ht="13">
      <c r="G314" s="226"/>
    </row>
    <row r="315" spans="7:7" ht="13">
      <c r="G315" s="226"/>
    </row>
    <row r="316" spans="7:7" ht="13">
      <c r="G316" s="226"/>
    </row>
    <row r="317" spans="7:7" ht="13">
      <c r="G317" s="226"/>
    </row>
    <row r="318" spans="7:7" ht="13">
      <c r="G318" s="226"/>
    </row>
    <row r="319" spans="7:7" ht="13">
      <c r="G319" s="226"/>
    </row>
    <row r="320" spans="7:7" ht="13">
      <c r="G320" s="226"/>
    </row>
    <row r="321" spans="7:7" ht="13">
      <c r="G321" s="226"/>
    </row>
    <row r="322" spans="7:7" ht="13">
      <c r="G322" s="226"/>
    </row>
    <row r="323" spans="7:7" ht="13">
      <c r="G323" s="226"/>
    </row>
    <row r="324" spans="7:7" ht="13">
      <c r="G324" s="226"/>
    </row>
    <row r="325" spans="7:7" ht="13">
      <c r="G325" s="226"/>
    </row>
    <row r="326" spans="7:7" ht="13">
      <c r="G326" s="226"/>
    </row>
    <row r="327" spans="7:7" ht="13">
      <c r="G327" s="226"/>
    </row>
    <row r="328" spans="7:7" ht="13">
      <c r="G328" s="226"/>
    </row>
    <row r="329" spans="7:7" ht="13">
      <c r="G329" s="226"/>
    </row>
    <row r="330" spans="7:7" ht="13">
      <c r="G330" s="226"/>
    </row>
    <row r="331" spans="7:7" ht="13">
      <c r="G331" s="226"/>
    </row>
    <row r="332" spans="7:7" ht="13">
      <c r="G332" s="226"/>
    </row>
    <row r="333" spans="7:7" ht="13">
      <c r="G333" s="226"/>
    </row>
    <row r="334" spans="7:7" ht="13">
      <c r="G334" s="226"/>
    </row>
    <row r="335" spans="7:7" ht="13">
      <c r="G335" s="226"/>
    </row>
    <row r="336" spans="7:7" ht="13">
      <c r="G336" s="226"/>
    </row>
    <row r="337" spans="7:7" ht="13">
      <c r="G337" s="226"/>
    </row>
    <row r="338" spans="7:7" ht="13">
      <c r="G338" s="226"/>
    </row>
    <row r="339" spans="7:7" ht="13">
      <c r="G339" s="226"/>
    </row>
    <row r="340" spans="7:7" ht="13">
      <c r="G340" s="226"/>
    </row>
    <row r="341" spans="7:7" ht="13">
      <c r="G341" s="226"/>
    </row>
    <row r="342" spans="7:7" ht="13">
      <c r="G342" s="226"/>
    </row>
    <row r="343" spans="7:7" ht="13">
      <c r="G343" s="226"/>
    </row>
    <row r="344" spans="7:7" ht="13">
      <c r="G344" s="226"/>
    </row>
    <row r="345" spans="7:7" ht="13">
      <c r="G345" s="226"/>
    </row>
    <row r="346" spans="7:7" ht="13">
      <c r="G346" s="226"/>
    </row>
    <row r="347" spans="7:7" ht="13">
      <c r="G347" s="226"/>
    </row>
    <row r="348" spans="7:7" ht="13">
      <c r="G348" s="226"/>
    </row>
    <row r="349" spans="7:7" ht="13">
      <c r="G349" s="226"/>
    </row>
    <row r="350" spans="7:7" ht="13">
      <c r="G350" s="226"/>
    </row>
    <row r="351" spans="7:7" ht="13">
      <c r="G351" s="226"/>
    </row>
    <row r="352" spans="7:7" ht="13">
      <c r="G352" s="226"/>
    </row>
    <row r="353" spans="7:7" ht="13">
      <c r="G353" s="226"/>
    </row>
    <row r="354" spans="7:7" ht="13">
      <c r="G354" s="226"/>
    </row>
    <row r="355" spans="7:7" ht="13">
      <c r="G355" s="226"/>
    </row>
    <row r="356" spans="7:7" ht="13">
      <c r="G356" s="226"/>
    </row>
    <row r="357" spans="7:7" ht="13">
      <c r="G357" s="226"/>
    </row>
    <row r="358" spans="7:7" ht="13">
      <c r="G358" s="226"/>
    </row>
    <row r="359" spans="7:7" ht="13">
      <c r="G359" s="226"/>
    </row>
    <row r="360" spans="7:7" ht="13">
      <c r="G360" s="226"/>
    </row>
    <row r="361" spans="7:7" ht="13">
      <c r="G361" s="226"/>
    </row>
    <row r="362" spans="7:7" ht="13">
      <c r="G362" s="226"/>
    </row>
    <row r="363" spans="7:7" ht="13">
      <c r="G363" s="226"/>
    </row>
    <row r="364" spans="7:7" ht="13">
      <c r="G364" s="226"/>
    </row>
    <row r="365" spans="7:7" ht="13">
      <c r="G365" s="226"/>
    </row>
    <row r="366" spans="7:7" ht="13">
      <c r="G366" s="226"/>
    </row>
    <row r="367" spans="7:7" ht="13">
      <c r="G367" s="226"/>
    </row>
    <row r="368" spans="7:7" ht="13">
      <c r="G368" s="226"/>
    </row>
    <row r="369" spans="7:7" ht="13">
      <c r="G369" s="226"/>
    </row>
    <row r="370" spans="7:7" ht="13">
      <c r="G370" s="226"/>
    </row>
    <row r="371" spans="7:7" ht="13">
      <c r="G371" s="226"/>
    </row>
    <row r="372" spans="7:7" ht="13">
      <c r="G372" s="226"/>
    </row>
    <row r="373" spans="7:7" ht="13">
      <c r="G373" s="226"/>
    </row>
    <row r="374" spans="7:7" ht="13">
      <c r="G374" s="226"/>
    </row>
    <row r="375" spans="7:7" ht="13">
      <c r="G375" s="226"/>
    </row>
    <row r="376" spans="7:7" ht="13">
      <c r="G376" s="226"/>
    </row>
    <row r="377" spans="7:7" ht="13">
      <c r="G377" s="226"/>
    </row>
    <row r="378" spans="7:7" ht="13">
      <c r="G378" s="226"/>
    </row>
    <row r="379" spans="7:7" ht="13">
      <c r="G379" s="226"/>
    </row>
    <row r="380" spans="7:7" ht="13">
      <c r="G380" s="226"/>
    </row>
    <row r="381" spans="7:7" ht="13">
      <c r="G381" s="226"/>
    </row>
    <row r="382" spans="7:7" ht="13">
      <c r="G382" s="226"/>
    </row>
    <row r="383" spans="7:7" ht="13">
      <c r="G383" s="226"/>
    </row>
    <row r="384" spans="7:7" ht="13">
      <c r="G384" s="226"/>
    </row>
    <row r="385" spans="7:7" ht="13">
      <c r="G385" s="226"/>
    </row>
    <row r="386" spans="7:7" ht="13">
      <c r="G386" s="226"/>
    </row>
    <row r="387" spans="7:7" ht="13">
      <c r="G387" s="226"/>
    </row>
    <row r="388" spans="7:7" ht="13">
      <c r="G388" s="226"/>
    </row>
    <row r="389" spans="7:7" ht="13">
      <c r="G389" s="226"/>
    </row>
    <row r="390" spans="7:7" ht="13">
      <c r="G390" s="226"/>
    </row>
    <row r="391" spans="7:7" ht="13">
      <c r="G391" s="226"/>
    </row>
    <row r="392" spans="7:7" ht="13">
      <c r="G392" s="226"/>
    </row>
    <row r="393" spans="7:7" ht="13">
      <c r="G393" s="226"/>
    </row>
    <row r="394" spans="7:7" ht="13">
      <c r="G394" s="226"/>
    </row>
    <row r="395" spans="7:7" ht="13">
      <c r="G395" s="226"/>
    </row>
    <row r="396" spans="7:7" ht="13">
      <c r="G396" s="226"/>
    </row>
    <row r="397" spans="7:7" ht="13">
      <c r="G397" s="226"/>
    </row>
    <row r="398" spans="7:7" ht="13">
      <c r="G398" s="226"/>
    </row>
    <row r="399" spans="7:7" ht="13">
      <c r="G399" s="226"/>
    </row>
    <row r="400" spans="7:7" ht="13">
      <c r="G400" s="226"/>
    </row>
    <row r="401" spans="7:7" ht="13">
      <c r="G401" s="226"/>
    </row>
    <row r="402" spans="7:7" ht="13">
      <c r="G402" s="226"/>
    </row>
    <row r="403" spans="7:7" ht="13">
      <c r="G403" s="226"/>
    </row>
    <row r="404" spans="7:7" ht="13">
      <c r="G404" s="226"/>
    </row>
    <row r="405" spans="7:7" ht="13">
      <c r="G405" s="226"/>
    </row>
    <row r="406" spans="7:7" ht="13">
      <c r="G406" s="226"/>
    </row>
    <row r="407" spans="7:7" ht="13">
      <c r="G407" s="226"/>
    </row>
    <row r="408" spans="7:7" ht="13">
      <c r="G408" s="226"/>
    </row>
    <row r="409" spans="7:7" ht="13">
      <c r="G409" s="226"/>
    </row>
    <row r="410" spans="7:7" ht="13">
      <c r="G410" s="226"/>
    </row>
    <row r="411" spans="7:7" ht="13">
      <c r="G411" s="226"/>
    </row>
    <row r="412" spans="7:7" ht="13">
      <c r="G412" s="226"/>
    </row>
    <row r="413" spans="7:7" ht="13">
      <c r="G413" s="226"/>
    </row>
    <row r="414" spans="7:7" ht="13">
      <c r="G414" s="226"/>
    </row>
    <row r="415" spans="7:7" ht="13">
      <c r="G415" s="226"/>
    </row>
    <row r="416" spans="7:7" ht="13">
      <c r="G416" s="226"/>
    </row>
    <row r="417" spans="7:7" ht="13">
      <c r="G417" s="226"/>
    </row>
    <row r="418" spans="7:7" ht="13">
      <c r="G418" s="226"/>
    </row>
    <row r="419" spans="7:7" ht="13">
      <c r="G419" s="226"/>
    </row>
    <row r="420" spans="7:7" ht="13">
      <c r="G420" s="226"/>
    </row>
    <row r="421" spans="7:7" ht="13">
      <c r="G421" s="226"/>
    </row>
    <row r="422" spans="7:7" ht="13">
      <c r="G422" s="226"/>
    </row>
    <row r="423" spans="7:7" ht="13">
      <c r="G423" s="226"/>
    </row>
    <row r="424" spans="7:7" ht="13">
      <c r="G424" s="226"/>
    </row>
    <row r="425" spans="7:7" ht="13">
      <c r="G425" s="226"/>
    </row>
    <row r="426" spans="7:7" ht="13">
      <c r="G426" s="226"/>
    </row>
    <row r="427" spans="7:7" ht="13">
      <c r="G427" s="226"/>
    </row>
    <row r="428" spans="7:7" ht="13">
      <c r="G428" s="226"/>
    </row>
    <row r="429" spans="7:7" ht="13">
      <c r="G429" s="226"/>
    </row>
    <row r="430" spans="7:7" ht="13">
      <c r="G430" s="226"/>
    </row>
    <row r="431" spans="7:7" ht="13">
      <c r="G431" s="226"/>
    </row>
    <row r="432" spans="7:7" ht="13">
      <c r="G432" s="226"/>
    </row>
    <row r="433" spans="7:7" ht="13">
      <c r="G433" s="226"/>
    </row>
    <row r="434" spans="7:7" ht="13">
      <c r="G434" s="226"/>
    </row>
    <row r="435" spans="7:7" ht="13">
      <c r="G435" s="226"/>
    </row>
    <row r="436" spans="7:7" ht="13">
      <c r="G436" s="226"/>
    </row>
    <row r="437" spans="7:7" ht="13">
      <c r="G437" s="226"/>
    </row>
    <row r="438" spans="7:7" ht="13">
      <c r="G438" s="226"/>
    </row>
    <row r="439" spans="7:7" ht="13">
      <c r="G439" s="226"/>
    </row>
    <row r="440" spans="7:7" ht="13">
      <c r="G440" s="226"/>
    </row>
    <row r="441" spans="7:7" ht="13">
      <c r="G441" s="226"/>
    </row>
    <row r="442" spans="7:7" ht="13">
      <c r="G442" s="226"/>
    </row>
    <row r="443" spans="7:7" ht="13">
      <c r="G443" s="226"/>
    </row>
    <row r="444" spans="7:7" ht="13">
      <c r="G444" s="226"/>
    </row>
    <row r="445" spans="7:7" ht="13">
      <c r="G445" s="226"/>
    </row>
    <row r="446" spans="7:7" ht="13">
      <c r="G446" s="226"/>
    </row>
    <row r="447" spans="7:7" ht="13">
      <c r="G447" s="226"/>
    </row>
    <row r="448" spans="7:7" ht="13">
      <c r="G448" s="226"/>
    </row>
    <row r="449" spans="7:7" ht="13">
      <c r="G449" s="226"/>
    </row>
    <row r="450" spans="7:7" ht="13">
      <c r="G450" s="226"/>
    </row>
    <row r="451" spans="7:7" ht="13">
      <c r="G451" s="226"/>
    </row>
    <row r="452" spans="7:7" ht="13">
      <c r="G452" s="226"/>
    </row>
    <row r="453" spans="7:7" ht="13">
      <c r="G453" s="226"/>
    </row>
    <row r="454" spans="7:7" ht="13">
      <c r="G454" s="226"/>
    </row>
    <row r="455" spans="7:7" ht="13">
      <c r="G455" s="226"/>
    </row>
    <row r="456" spans="7:7" ht="13">
      <c r="G456" s="226"/>
    </row>
    <row r="457" spans="7:7" ht="13">
      <c r="G457" s="226"/>
    </row>
    <row r="458" spans="7:7" ht="13">
      <c r="G458" s="226"/>
    </row>
    <row r="459" spans="7:7" ht="13">
      <c r="G459" s="226"/>
    </row>
    <row r="460" spans="7:7" ht="13">
      <c r="G460" s="226"/>
    </row>
    <row r="461" spans="7:7" ht="13">
      <c r="G461" s="226"/>
    </row>
    <row r="462" spans="7:7" ht="13">
      <c r="G462" s="226"/>
    </row>
    <row r="463" spans="7:7" ht="13">
      <c r="G463" s="226"/>
    </row>
    <row r="464" spans="7:7" ht="13">
      <c r="G464" s="226"/>
    </row>
    <row r="465" spans="7:7" ht="13">
      <c r="G465" s="226"/>
    </row>
    <row r="466" spans="7:7" ht="13">
      <c r="G466" s="226"/>
    </row>
    <row r="467" spans="7:7" ht="13">
      <c r="G467" s="226"/>
    </row>
    <row r="468" spans="7:7" ht="13">
      <c r="G468" s="226"/>
    </row>
    <row r="469" spans="7:7" ht="13">
      <c r="G469" s="226"/>
    </row>
    <row r="470" spans="7:7" ht="13">
      <c r="G470" s="226"/>
    </row>
    <row r="471" spans="7:7" ht="13">
      <c r="G471" s="226"/>
    </row>
    <row r="472" spans="7:7" ht="13">
      <c r="G472" s="226"/>
    </row>
    <row r="473" spans="7:7" ht="13">
      <c r="G473" s="226"/>
    </row>
    <row r="474" spans="7:7" ht="13">
      <c r="G474" s="226"/>
    </row>
    <row r="475" spans="7:7" ht="13">
      <c r="G475" s="226"/>
    </row>
    <row r="476" spans="7:7" ht="13">
      <c r="G476" s="226"/>
    </row>
    <row r="477" spans="7:7" ht="13">
      <c r="G477" s="226"/>
    </row>
    <row r="478" spans="7:7" ht="13">
      <c r="G478" s="226"/>
    </row>
    <row r="479" spans="7:7" ht="13">
      <c r="G479" s="226"/>
    </row>
    <row r="480" spans="7:7" ht="13">
      <c r="G480" s="226"/>
    </row>
    <row r="481" spans="7:7" ht="13">
      <c r="G481" s="226"/>
    </row>
    <row r="482" spans="7:7" ht="13">
      <c r="G482" s="226"/>
    </row>
    <row r="483" spans="7:7" ht="13">
      <c r="G483" s="226"/>
    </row>
    <row r="484" spans="7:7" ht="13">
      <c r="G484" s="226"/>
    </row>
    <row r="485" spans="7:7" ht="13">
      <c r="G485" s="226"/>
    </row>
    <row r="486" spans="7:7" ht="13">
      <c r="G486" s="226"/>
    </row>
    <row r="487" spans="7:7" ht="13">
      <c r="G487" s="226"/>
    </row>
    <row r="488" spans="7:7" ht="13">
      <c r="G488" s="226"/>
    </row>
    <row r="489" spans="7:7" ht="13">
      <c r="G489" s="226"/>
    </row>
    <row r="490" spans="7:7" ht="13">
      <c r="G490" s="226"/>
    </row>
    <row r="491" spans="7:7" ht="13">
      <c r="G491" s="226"/>
    </row>
    <row r="492" spans="7:7" ht="13">
      <c r="G492" s="226"/>
    </row>
    <row r="493" spans="7:7" ht="13">
      <c r="G493" s="226"/>
    </row>
    <row r="494" spans="7:7" ht="13">
      <c r="G494" s="226"/>
    </row>
    <row r="495" spans="7:7" ht="13">
      <c r="G495" s="226"/>
    </row>
    <row r="496" spans="7:7" ht="13">
      <c r="G496" s="226"/>
    </row>
    <row r="497" spans="7:7" ht="13">
      <c r="G497" s="226"/>
    </row>
    <row r="498" spans="7:7" ht="13">
      <c r="G498" s="226"/>
    </row>
    <row r="499" spans="7:7" ht="13">
      <c r="G499" s="226"/>
    </row>
    <row r="500" spans="7:7" ht="13">
      <c r="G500" s="226"/>
    </row>
    <row r="501" spans="7:7" ht="13">
      <c r="G501" s="226"/>
    </row>
    <row r="502" spans="7:7" ht="13">
      <c r="G502" s="226"/>
    </row>
    <row r="503" spans="7:7" ht="13">
      <c r="G503" s="226"/>
    </row>
    <row r="504" spans="7:7" ht="13">
      <c r="G504" s="226"/>
    </row>
    <row r="505" spans="7:7" ht="13">
      <c r="G505" s="226"/>
    </row>
    <row r="506" spans="7:7" ht="13">
      <c r="G506" s="226"/>
    </row>
    <row r="507" spans="7:7" ht="13">
      <c r="G507" s="226"/>
    </row>
    <row r="508" spans="7:7" ht="13">
      <c r="G508" s="226"/>
    </row>
    <row r="509" spans="7:7" ht="13">
      <c r="G509" s="226"/>
    </row>
    <row r="510" spans="7:7" ht="13">
      <c r="G510" s="226"/>
    </row>
    <row r="511" spans="7:7" ht="13">
      <c r="G511" s="226"/>
    </row>
    <row r="512" spans="7:7" ht="13">
      <c r="G512" s="226"/>
    </row>
    <row r="513" spans="7:7" ht="13">
      <c r="G513" s="226"/>
    </row>
    <row r="514" spans="7:7" ht="13">
      <c r="G514" s="226"/>
    </row>
    <row r="515" spans="7:7" ht="13">
      <c r="G515" s="226"/>
    </row>
    <row r="516" spans="7:7" ht="13">
      <c r="G516" s="226"/>
    </row>
    <row r="517" spans="7:7" ht="13">
      <c r="G517" s="226"/>
    </row>
    <row r="518" spans="7:7" ht="13">
      <c r="G518" s="226"/>
    </row>
    <row r="519" spans="7:7" ht="13">
      <c r="G519" s="226"/>
    </row>
    <row r="520" spans="7:7" ht="13">
      <c r="G520" s="226"/>
    </row>
    <row r="521" spans="7:7" ht="13">
      <c r="G521" s="226"/>
    </row>
    <row r="522" spans="7:7" ht="13">
      <c r="G522" s="226"/>
    </row>
    <row r="523" spans="7:7" ht="13">
      <c r="G523" s="226"/>
    </row>
    <row r="524" spans="7:7" ht="13">
      <c r="G524" s="226"/>
    </row>
    <row r="525" spans="7:7" ht="13">
      <c r="G525" s="226"/>
    </row>
    <row r="526" spans="7:7" ht="13">
      <c r="G526" s="226"/>
    </row>
    <row r="527" spans="7:7" ht="13">
      <c r="G527" s="226"/>
    </row>
    <row r="528" spans="7:7" ht="13">
      <c r="G528" s="226"/>
    </row>
    <row r="529" spans="7:7" ht="13">
      <c r="G529" s="226"/>
    </row>
    <row r="530" spans="7:7" ht="13">
      <c r="G530" s="226"/>
    </row>
    <row r="531" spans="7:7" ht="13">
      <c r="G531" s="226"/>
    </row>
    <row r="532" spans="7:7" ht="13">
      <c r="G532" s="226"/>
    </row>
    <row r="533" spans="7:7" ht="13">
      <c r="G533" s="226"/>
    </row>
    <row r="534" spans="7:7" ht="13">
      <c r="G534" s="226"/>
    </row>
    <row r="535" spans="7:7" ht="13">
      <c r="G535" s="226"/>
    </row>
    <row r="536" spans="7:7" ht="13">
      <c r="G536" s="226"/>
    </row>
    <row r="537" spans="7:7" ht="13">
      <c r="G537" s="226"/>
    </row>
    <row r="538" spans="7:7" ht="13">
      <c r="G538" s="226"/>
    </row>
    <row r="539" spans="7:7" ht="13">
      <c r="G539" s="226"/>
    </row>
    <row r="540" spans="7:7" ht="13">
      <c r="G540" s="226"/>
    </row>
    <row r="541" spans="7:7" ht="13">
      <c r="G541" s="226"/>
    </row>
    <row r="542" spans="7:7" ht="13">
      <c r="G542" s="226"/>
    </row>
    <row r="543" spans="7:7" ht="13">
      <c r="G543" s="226"/>
    </row>
    <row r="544" spans="7:7" ht="13">
      <c r="G544" s="226"/>
    </row>
    <row r="545" spans="7:7" ht="13">
      <c r="G545" s="226"/>
    </row>
    <row r="546" spans="7:7" ht="13">
      <c r="G546" s="226"/>
    </row>
    <row r="547" spans="7:7" ht="13">
      <c r="G547" s="226"/>
    </row>
    <row r="548" spans="7:7" ht="13">
      <c r="G548" s="226"/>
    </row>
    <row r="549" spans="7:7" ht="13">
      <c r="G549" s="226"/>
    </row>
    <row r="550" spans="7:7" ht="13">
      <c r="G550" s="226"/>
    </row>
    <row r="551" spans="7:7" ht="13">
      <c r="G551" s="226"/>
    </row>
    <row r="552" spans="7:7" ht="13">
      <c r="G552" s="226"/>
    </row>
    <row r="553" spans="7:7" ht="13">
      <c r="G553" s="226"/>
    </row>
    <row r="554" spans="7:7" ht="13">
      <c r="G554" s="226"/>
    </row>
    <row r="555" spans="7:7" ht="13">
      <c r="G555" s="226"/>
    </row>
    <row r="556" spans="7:7" ht="13">
      <c r="G556" s="226"/>
    </row>
    <row r="557" spans="7:7" ht="13">
      <c r="G557" s="226"/>
    </row>
    <row r="558" spans="7:7" ht="13">
      <c r="G558" s="226"/>
    </row>
    <row r="559" spans="7:7" ht="13">
      <c r="G559" s="226"/>
    </row>
    <row r="560" spans="7:7" ht="13">
      <c r="G560" s="226"/>
    </row>
    <row r="561" spans="7:7" ht="13">
      <c r="G561" s="226"/>
    </row>
    <row r="562" spans="7:7" ht="13">
      <c r="G562" s="226"/>
    </row>
    <row r="563" spans="7:7" ht="13">
      <c r="G563" s="226"/>
    </row>
    <row r="564" spans="7:7" ht="13">
      <c r="G564" s="226"/>
    </row>
    <row r="565" spans="7:7" ht="13">
      <c r="G565" s="226"/>
    </row>
    <row r="566" spans="7:7" ht="13">
      <c r="G566" s="226"/>
    </row>
    <row r="567" spans="7:7" ht="13">
      <c r="G567" s="226"/>
    </row>
    <row r="568" spans="7:7" ht="13">
      <c r="G568" s="226"/>
    </row>
    <row r="569" spans="7:7" ht="13">
      <c r="G569" s="226"/>
    </row>
    <row r="570" spans="7:7" ht="13">
      <c r="G570" s="226"/>
    </row>
    <row r="571" spans="7:7" ht="13">
      <c r="G571" s="226"/>
    </row>
    <row r="572" spans="7:7" ht="13">
      <c r="G572" s="226"/>
    </row>
    <row r="573" spans="7:7" ht="13">
      <c r="G573" s="226"/>
    </row>
    <row r="574" spans="7:7" ht="13">
      <c r="G574" s="226"/>
    </row>
    <row r="575" spans="7:7" ht="13">
      <c r="G575" s="226"/>
    </row>
    <row r="576" spans="7:7" ht="13">
      <c r="G576" s="226"/>
    </row>
    <row r="577" spans="7:7" ht="13">
      <c r="G577" s="226"/>
    </row>
    <row r="578" spans="7:7" ht="13">
      <c r="G578" s="226"/>
    </row>
    <row r="579" spans="7:7" ht="13">
      <c r="G579" s="226"/>
    </row>
    <row r="580" spans="7:7" ht="13">
      <c r="G580" s="226"/>
    </row>
    <row r="581" spans="7:7" ht="13">
      <c r="G581" s="226"/>
    </row>
    <row r="582" spans="7:7" ht="13">
      <c r="G582" s="226"/>
    </row>
    <row r="583" spans="7:7" ht="13">
      <c r="G583" s="226"/>
    </row>
    <row r="584" spans="7:7" ht="13">
      <c r="G584" s="226"/>
    </row>
    <row r="585" spans="7:7" ht="13">
      <c r="G585" s="226"/>
    </row>
    <row r="586" spans="7:7" ht="13">
      <c r="G586" s="226"/>
    </row>
    <row r="587" spans="7:7" ht="13">
      <c r="G587" s="226"/>
    </row>
    <row r="588" spans="7:7" ht="13">
      <c r="G588" s="226"/>
    </row>
    <row r="589" spans="7:7" ht="13">
      <c r="G589" s="226"/>
    </row>
    <row r="590" spans="7:7" ht="13">
      <c r="G590" s="226"/>
    </row>
    <row r="591" spans="7:7" ht="13">
      <c r="G591" s="226"/>
    </row>
    <row r="592" spans="7:7" ht="13">
      <c r="G592" s="226"/>
    </row>
    <row r="593" spans="7:7" ht="13">
      <c r="G593" s="226"/>
    </row>
    <row r="594" spans="7:7" ht="13">
      <c r="G594" s="226"/>
    </row>
    <row r="595" spans="7:7" ht="13">
      <c r="G595" s="226"/>
    </row>
    <row r="596" spans="7:7" ht="13">
      <c r="G596" s="226"/>
    </row>
    <row r="597" spans="7:7" ht="13">
      <c r="G597" s="226"/>
    </row>
    <row r="598" spans="7:7" ht="13">
      <c r="G598" s="226"/>
    </row>
    <row r="599" spans="7:7" ht="13">
      <c r="G599" s="226"/>
    </row>
    <row r="600" spans="7:7" ht="13">
      <c r="G600" s="226"/>
    </row>
    <row r="601" spans="7:7" ht="13">
      <c r="G601" s="226"/>
    </row>
    <row r="602" spans="7:7" ht="13">
      <c r="G602" s="226"/>
    </row>
    <row r="603" spans="7:7" ht="13">
      <c r="G603" s="226"/>
    </row>
    <row r="604" spans="7:7" ht="13">
      <c r="G604" s="226"/>
    </row>
    <row r="605" spans="7:7" ht="13">
      <c r="G605" s="226"/>
    </row>
    <row r="606" spans="7:7" ht="13">
      <c r="G606" s="226"/>
    </row>
    <row r="607" spans="7:7" ht="13">
      <c r="G607" s="226"/>
    </row>
    <row r="608" spans="7:7" ht="13">
      <c r="G608" s="226"/>
    </row>
    <row r="609" spans="7:7" ht="13">
      <c r="G609" s="226"/>
    </row>
    <row r="610" spans="7:7" ht="13">
      <c r="G610" s="226"/>
    </row>
    <row r="611" spans="7:7" ht="13">
      <c r="G611" s="226"/>
    </row>
    <row r="612" spans="7:7" ht="13">
      <c r="G612" s="226"/>
    </row>
    <row r="613" spans="7:7" ht="13">
      <c r="G613" s="226"/>
    </row>
    <row r="614" spans="7:7" ht="13">
      <c r="G614" s="226"/>
    </row>
    <row r="615" spans="7:7" ht="13">
      <c r="G615" s="226"/>
    </row>
    <row r="616" spans="7:7" ht="13">
      <c r="G616" s="226"/>
    </row>
    <row r="617" spans="7:7" ht="13">
      <c r="G617" s="226"/>
    </row>
    <row r="618" spans="7:7" ht="13">
      <c r="G618" s="226"/>
    </row>
    <row r="619" spans="7:7" ht="13">
      <c r="G619" s="226"/>
    </row>
    <row r="620" spans="7:7" ht="13">
      <c r="G620" s="226"/>
    </row>
    <row r="621" spans="7:7" ht="13">
      <c r="G621" s="226"/>
    </row>
    <row r="622" spans="7:7" ht="13">
      <c r="G622" s="226"/>
    </row>
    <row r="623" spans="7:7" ht="13">
      <c r="G623" s="226"/>
    </row>
    <row r="624" spans="7:7" ht="13">
      <c r="G624" s="226"/>
    </row>
    <row r="625" spans="7:7" ht="13">
      <c r="G625" s="226"/>
    </row>
    <row r="626" spans="7:7" ht="13">
      <c r="G626" s="226"/>
    </row>
    <row r="627" spans="7:7" ht="13">
      <c r="G627" s="226"/>
    </row>
    <row r="628" spans="7:7" ht="13">
      <c r="G628" s="226"/>
    </row>
    <row r="629" spans="7:7" ht="13">
      <c r="G629" s="226"/>
    </row>
    <row r="630" spans="7:7" ht="13">
      <c r="G630" s="226"/>
    </row>
    <row r="631" spans="7:7" ht="13">
      <c r="G631" s="226"/>
    </row>
    <row r="632" spans="7:7" ht="13">
      <c r="G632" s="226"/>
    </row>
    <row r="633" spans="7:7" ht="13">
      <c r="G633" s="226"/>
    </row>
    <row r="634" spans="7:7" ht="13">
      <c r="G634" s="226"/>
    </row>
    <row r="635" spans="7:7" ht="13">
      <c r="G635" s="226"/>
    </row>
    <row r="636" spans="7:7" ht="13">
      <c r="G636" s="226"/>
    </row>
    <row r="637" spans="7:7" ht="13">
      <c r="G637" s="226"/>
    </row>
    <row r="638" spans="7:7" ht="13">
      <c r="G638" s="226"/>
    </row>
    <row r="639" spans="7:7" ht="13">
      <c r="G639" s="226"/>
    </row>
    <row r="640" spans="7:7" ht="13">
      <c r="G640" s="226"/>
    </row>
    <row r="641" spans="7:7" ht="13">
      <c r="G641" s="226"/>
    </row>
    <row r="642" spans="7:7" ht="13">
      <c r="G642" s="226"/>
    </row>
    <row r="643" spans="7:7" ht="13">
      <c r="G643" s="226"/>
    </row>
    <row r="644" spans="7:7" ht="13">
      <c r="G644" s="226"/>
    </row>
    <row r="645" spans="7:7" ht="13">
      <c r="G645" s="226"/>
    </row>
    <row r="646" spans="7:7" ht="13">
      <c r="G646" s="226"/>
    </row>
    <row r="647" spans="7:7" ht="13">
      <c r="G647" s="226"/>
    </row>
    <row r="648" spans="7:7" ht="13">
      <c r="G648" s="226"/>
    </row>
    <row r="649" spans="7:7" ht="13">
      <c r="G649" s="226"/>
    </row>
    <row r="650" spans="7:7" ht="13">
      <c r="G650" s="226"/>
    </row>
    <row r="651" spans="7:7" ht="13">
      <c r="G651" s="226"/>
    </row>
    <row r="652" spans="7:7" ht="13">
      <c r="G652" s="226"/>
    </row>
    <row r="653" spans="7:7" ht="13">
      <c r="G653" s="226"/>
    </row>
    <row r="654" spans="7:7" ht="13">
      <c r="G654" s="226"/>
    </row>
    <row r="655" spans="7:7" ht="13">
      <c r="G655" s="226"/>
    </row>
    <row r="656" spans="7:7" ht="13">
      <c r="G656" s="226"/>
    </row>
    <row r="657" spans="7:7" ht="13">
      <c r="G657" s="226"/>
    </row>
    <row r="658" spans="7:7" ht="13">
      <c r="G658" s="226"/>
    </row>
    <row r="659" spans="7:7" ht="13">
      <c r="G659" s="226"/>
    </row>
    <row r="660" spans="7:7" ht="13">
      <c r="G660" s="226"/>
    </row>
    <row r="661" spans="7:7" ht="13">
      <c r="G661" s="226"/>
    </row>
    <row r="662" spans="7:7" ht="13">
      <c r="G662" s="226"/>
    </row>
    <row r="663" spans="7:7" ht="13">
      <c r="G663" s="226"/>
    </row>
    <row r="664" spans="7:7" ht="13">
      <c r="G664" s="226"/>
    </row>
    <row r="665" spans="7:7" ht="13">
      <c r="G665" s="226"/>
    </row>
    <row r="666" spans="7:7" ht="13">
      <c r="G666" s="226"/>
    </row>
    <row r="667" spans="7:7" ht="13">
      <c r="G667" s="226"/>
    </row>
    <row r="668" spans="7:7" ht="13">
      <c r="G668" s="226"/>
    </row>
    <row r="669" spans="7:7" ht="13">
      <c r="G669" s="226"/>
    </row>
    <row r="670" spans="7:7" ht="13">
      <c r="G670" s="226"/>
    </row>
    <row r="671" spans="7:7" ht="13">
      <c r="G671" s="226"/>
    </row>
    <row r="672" spans="7:7" ht="13">
      <c r="G672" s="226"/>
    </row>
    <row r="673" spans="7:7" ht="13">
      <c r="G673" s="226"/>
    </row>
    <row r="674" spans="7:7" ht="13">
      <c r="G674" s="226"/>
    </row>
    <row r="675" spans="7:7" ht="13">
      <c r="G675" s="226"/>
    </row>
    <row r="676" spans="7:7" ht="13">
      <c r="G676" s="226"/>
    </row>
    <row r="677" spans="7:7" ht="13">
      <c r="G677" s="226"/>
    </row>
    <row r="678" spans="7:7" ht="13">
      <c r="G678" s="226"/>
    </row>
    <row r="679" spans="7:7" ht="13">
      <c r="G679" s="226"/>
    </row>
    <row r="680" spans="7:7" ht="13">
      <c r="G680" s="226"/>
    </row>
    <row r="681" spans="7:7" ht="13">
      <c r="G681" s="226"/>
    </row>
    <row r="682" spans="7:7" ht="13">
      <c r="G682" s="226"/>
    </row>
    <row r="683" spans="7:7" ht="13">
      <c r="G683" s="226"/>
    </row>
    <row r="684" spans="7:7" ht="13">
      <c r="G684" s="226"/>
    </row>
    <row r="685" spans="7:7" ht="13">
      <c r="G685" s="226"/>
    </row>
    <row r="686" spans="7:7" ht="13">
      <c r="G686" s="226"/>
    </row>
    <row r="687" spans="7:7" ht="13">
      <c r="G687" s="226"/>
    </row>
    <row r="688" spans="7:7" ht="13">
      <c r="G688" s="226"/>
    </row>
    <row r="689" spans="7:7" ht="13">
      <c r="G689" s="226"/>
    </row>
    <row r="690" spans="7:7" ht="13">
      <c r="G690" s="226"/>
    </row>
    <row r="691" spans="7:7" ht="13">
      <c r="G691" s="226"/>
    </row>
    <row r="692" spans="7:7" ht="13">
      <c r="G692" s="226"/>
    </row>
    <row r="693" spans="7:7" ht="13">
      <c r="G693" s="226"/>
    </row>
    <row r="694" spans="7:7" ht="13">
      <c r="G694" s="226"/>
    </row>
    <row r="695" spans="7:7" ht="13">
      <c r="G695" s="226"/>
    </row>
    <row r="696" spans="7:7" ht="13">
      <c r="G696" s="226"/>
    </row>
    <row r="697" spans="7:7" ht="13">
      <c r="G697" s="226"/>
    </row>
    <row r="698" spans="7:7" ht="13">
      <c r="G698" s="226"/>
    </row>
    <row r="699" spans="7:7" ht="13">
      <c r="G699" s="226"/>
    </row>
    <row r="700" spans="7:7" ht="13">
      <c r="G700" s="226"/>
    </row>
    <row r="701" spans="7:7" ht="13">
      <c r="G701" s="226"/>
    </row>
    <row r="702" spans="7:7" ht="13">
      <c r="G702" s="226"/>
    </row>
    <row r="703" spans="7:7" ht="13">
      <c r="G703" s="226"/>
    </row>
    <row r="704" spans="7:7" ht="13">
      <c r="G704" s="226"/>
    </row>
    <row r="705" spans="7:7" ht="13">
      <c r="G705" s="226"/>
    </row>
    <row r="706" spans="7:7" ht="13">
      <c r="G706" s="226"/>
    </row>
    <row r="707" spans="7:7" ht="13">
      <c r="G707" s="226"/>
    </row>
    <row r="708" spans="7:7" ht="13">
      <c r="G708" s="226"/>
    </row>
    <row r="709" spans="7:7" ht="13">
      <c r="G709" s="226"/>
    </row>
    <row r="710" spans="7:7" ht="13">
      <c r="G710" s="226"/>
    </row>
    <row r="711" spans="7:7" ht="13">
      <c r="G711" s="226"/>
    </row>
    <row r="712" spans="7:7" ht="13">
      <c r="G712" s="226"/>
    </row>
    <row r="713" spans="7:7" ht="13">
      <c r="G713" s="226"/>
    </row>
    <row r="714" spans="7:7" ht="13">
      <c r="G714" s="226"/>
    </row>
    <row r="715" spans="7:7" ht="13">
      <c r="G715" s="226"/>
    </row>
    <row r="716" spans="7:7" ht="13">
      <c r="G716" s="226"/>
    </row>
    <row r="717" spans="7:7" ht="13">
      <c r="G717" s="226"/>
    </row>
    <row r="718" spans="7:7" ht="13">
      <c r="G718" s="226"/>
    </row>
    <row r="719" spans="7:7" ht="13">
      <c r="G719" s="226"/>
    </row>
    <row r="720" spans="7:7" ht="13">
      <c r="G720" s="226"/>
    </row>
    <row r="721" spans="7:7" ht="13">
      <c r="G721" s="226"/>
    </row>
    <row r="722" spans="7:7" ht="13">
      <c r="G722" s="226"/>
    </row>
    <row r="723" spans="7:7" ht="13">
      <c r="G723" s="226"/>
    </row>
    <row r="724" spans="7:7" ht="13">
      <c r="G724" s="226"/>
    </row>
    <row r="725" spans="7:7" ht="13">
      <c r="G725" s="226"/>
    </row>
    <row r="726" spans="7:7" ht="13">
      <c r="G726" s="226"/>
    </row>
    <row r="727" spans="7:7" ht="13">
      <c r="G727" s="226"/>
    </row>
    <row r="728" spans="7:7" ht="13">
      <c r="G728" s="226"/>
    </row>
    <row r="729" spans="7:7" ht="13">
      <c r="G729" s="226"/>
    </row>
    <row r="730" spans="7:7" ht="13">
      <c r="G730" s="226"/>
    </row>
    <row r="731" spans="7:7" ht="13">
      <c r="G731" s="226"/>
    </row>
    <row r="732" spans="7:7" ht="13">
      <c r="G732" s="226"/>
    </row>
    <row r="733" spans="7:7" ht="13">
      <c r="G733" s="226"/>
    </row>
    <row r="734" spans="7:7" ht="13">
      <c r="G734" s="226"/>
    </row>
    <row r="735" spans="7:7" ht="13">
      <c r="G735" s="226"/>
    </row>
    <row r="736" spans="7:7" ht="13">
      <c r="G736" s="226"/>
    </row>
    <row r="737" spans="7:7" ht="13">
      <c r="G737" s="226"/>
    </row>
    <row r="738" spans="7:7" ht="13">
      <c r="G738" s="226"/>
    </row>
    <row r="739" spans="7:7" ht="13">
      <c r="G739" s="226"/>
    </row>
    <row r="740" spans="7:7" ht="13">
      <c r="G740" s="226"/>
    </row>
    <row r="741" spans="7:7" ht="13">
      <c r="G741" s="226"/>
    </row>
    <row r="742" spans="7:7" ht="13">
      <c r="G742" s="226"/>
    </row>
    <row r="743" spans="7:7" ht="13">
      <c r="G743" s="226"/>
    </row>
    <row r="744" spans="7:7" ht="13">
      <c r="G744" s="226"/>
    </row>
    <row r="745" spans="7:7" ht="13">
      <c r="G745" s="226"/>
    </row>
    <row r="746" spans="7:7" ht="13">
      <c r="G746" s="226"/>
    </row>
    <row r="747" spans="7:7" ht="13">
      <c r="G747" s="226"/>
    </row>
    <row r="748" spans="7:7" ht="13">
      <c r="G748" s="226"/>
    </row>
    <row r="749" spans="7:7" ht="13">
      <c r="G749" s="226"/>
    </row>
    <row r="750" spans="7:7" ht="13">
      <c r="G750" s="226"/>
    </row>
    <row r="751" spans="7:7" ht="13">
      <c r="G751" s="226"/>
    </row>
    <row r="752" spans="7:7" ht="13">
      <c r="G752" s="226"/>
    </row>
    <row r="753" spans="7:7" ht="13">
      <c r="G753" s="226"/>
    </row>
    <row r="754" spans="7:7" ht="13">
      <c r="G754" s="226"/>
    </row>
    <row r="755" spans="7:7" ht="13">
      <c r="G755" s="226"/>
    </row>
    <row r="756" spans="7:7" ht="13">
      <c r="G756" s="226"/>
    </row>
    <row r="757" spans="7:7" ht="13">
      <c r="G757" s="226"/>
    </row>
    <row r="758" spans="7:7" ht="13">
      <c r="G758" s="226"/>
    </row>
    <row r="759" spans="7:7" ht="13">
      <c r="G759" s="226"/>
    </row>
    <row r="760" spans="7:7" ht="13">
      <c r="G760" s="226"/>
    </row>
    <row r="761" spans="7:7" ht="13">
      <c r="G761" s="226"/>
    </row>
    <row r="762" spans="7:7" ht="13">
      <c r="G762" s="226"/>
    </row>
    <row r="763" spans="7:7" ht="13">
      <c r="G763" s="226"/>
    </row>
    <row r="764" spans="7:7" ht="13">
      <c r="G764" s="226"/>
    </row>
    <row r="765" spans="7:7" ht="13">
      <c r="G765" s="226"/>
    </row>
    <row r="766" spans="7:7" ht="13">
      <c r="G766" s="226"/>
    </row>
    <row r="767" spans="7:7" ht="13">
      <c r="G767" s="226"/>
    </row>
    <row r="768" spans="7:7" ht="13">
      <c r="G768" s="226"/>
    </row>
    <row r="769" spans="7:7" ht="13">
      <c r="G769" s="226"/>
    </row>
    <row r="770" spans="7:7" ht="13">
      <c r="G770" s="226"/>
    </row>
    <row r="771" spans="7:7" ht="13">
      <c r="G771" s="226"/>
    </row>
    <row r="772" spans="7:7" ht="13">
      <c r="G772" s="226"/>
    </row>
    <row r="773" spans="7:7" ht="13">
      <c r="G773" s="226"/>
    </row>
    <row r="774" spans="7:7" ht="13">
      <c r="G774" s="226"/>
    </row>
    <row r="775" spans="7:7" ht="13">
      <c r="G775" s="226"/>
    </row>
    <row r="776" spans="7:7" ht="13">
      <c r="G776" s="226"/>
    </row>
    <row r="777" spans="7:7" ht="13">
      <c r="G777" s="226"/>
    </row>
    <row r="778" spans="7:7" ht="13">
      <c r="G778" s="226"/>
    </row>
    <row r="779" spans="7:7" ht="13">
      <c r="G779" s="226"/>
    </row>
    <row r="780" spans="7:7" ht="13">
      <c r="G780" s="226"/>
    </row>
    <row r="781" spans="7:7" ht="13">
      <c r="G781" s="226"/>
    </row>
    <row r="782" spans="7:7" ht="13">
      <c r="G782" s="226"/>
    </row>
    <row r="783" spans="7:7" ht="13">
      <c r="G783" s="226"/>
    </row>
    <row r="784" spans="7:7" ht="13">
      <c r="G784" s="226"/>
    </row>
    <row r="785" spans="7:7" ht="13">
      <c r="G785" s="226"/>
    </row>
    <row r="786" spans="7:7" ht="13">
      <c r="G786" s="226"/>
    </row>
    <row r="787" spans="7:7" ht="13">
      <c r="G787" s="226"/>
    </row>
    <row r="788" spans="7:7" ht="13">
      <c r="G788" s="226"/>
    </row>
    <row r="789" spans="7:7" ht="13">
      <c r="G789" s="226"/>
    </row>
    <row r="790" spans="7:7" ht="13">
      <c r="G790" s="226"/>
    </row>
    <row r="791" spans="7:7" ht="13">
      <c r="G791" s="226"/>
    </row>
    <row r="792" spans="7:7" ht="13">
      <c r="G792" s="226"/>
    </row>
    <row r="793" spans="7:7" ht="13">
      <c r="G793" s="226"/>
    </row>
    <row r="794" spans="7:7" ht="13">
      <c r="G794" s="226"/>
    </row>
    <row r="795" spans="7:7" ht="13">
      <c r="G795" s="226"/>
    </row>
    <row r="796" spans="7:7" ht="13">
      <c r="G796" s="226"/>
    </row>
    <row r="797" spans="7:7" ht="13">
      <c r="G797" s="226"/>
    </row>
    <row r="798" spans="7:7" ht="13">
      <c r="G798" s="226"/>
    </row>
    <row r="799" spans="7:7" ht="13">
      <c r="G799" s="226"/>
    </row>
    <row r="800" spans="7:7" ht="13">
      <c r="G800" s="226"/>
    </row>
    <row r="801" spans="7:7" ht="13">
      <c r="G801" s="226"/>
    </row>
    <row r="802" spans="7:7" ht="13">
      <c r="G802" s="226"/>
    </row>
    <row r="803" spans="7:7" ht="13">
      <c r="G803" s="226"/>
    </row>
    <row r="804" spans="7:7" ht="13">
      <c r="G804" s="226"/>
    </row>
    <row r="805" spans="7:7" ht="13">
      <c r="G805" s="226"/>
    </row>
    <row r="806" spans="7:7" ht="13">
      <c r="G806" s="226"/>
    </row>
    <row r="807" spans="7:7" ht="13">
      <c r="G807" s="226"/>
    </row>
    <row r="808" spans="7:7" ht="13">
      <c r="G808" s="226"/>
    </row>
    <row r="809" spans="7:7" ht="13">
      <c r="G809" s="226"/>
    </row>
    <row r="810" spans="7:7" ht="13">
      <c r="G810" s="226"/>
    </row>
    <row r="811" spans="7:7" ht="13">
      <c r="G811" s="226"/>
    </row>
    <row r="812" spans="7:7" ht="13">
      <c r="G812" s="226"/>
    </row>
    <row r="813" spans="7:7" ht="13">
      <c r="G813" s="226"/>
    </row>
    <row r="814" spans="7:7" ht="13">
      <c r="G814" s="226"/>
    </row>
    <row r="815" spans="7:7" ht="13">
      <c r="G815" s="226"/>
    </row>
    <row r="816" spans="7:7" ht="13">
      <c r="G816" s="226"/>
    </row>
    <row r="817" spans="7:7" ht="13">
      <c r="G817" s="226"/>
    </row>
    <row r="818" spans="7:7" ht="13">
      <c r="G818" s="226"/>
    </row>
    <row r="819" spans="7:7" ht="13">
      <c r="G819" s="226"/>
    </row>
    <row r="820" spans="7:7" ht="13">
      <c r="G820" s="226"/>
    </row>
    <row r="821" spans="7:7" ht="13">
      <c r="G821" s="226"/>
    </row>
    <row r="822" spans="7:7" ht="13">
      <c r="G822" s="226"/>
    </row>
    <row r="823" spans="7:7" ht="13">
      <c r="G823" s="226"/>
    </row>
    <row r="824" spans="7:7" ht="13">
      <c r="G824" s="226"/>
    </row>
    <row r="825" spans="7:7" ht="13">
      <c r="G825" s="226"/>
    </row>
    <row r="826" spans="7:7" ht="13">
      <c r="G826" s="226"/>
    </row>
    <row r="827" spans="7:7" ht="13">
      <c r="G827" s="226"/>
    </row>
    <row r="828" spans="7:7" ht="13">
      <c r="G828" s="226"/>
    </row>
    <row r="829" spans="7:7" ht="13">
      <c r="G829" s="226"/>
    </row>
    <row r="830" spans="7:7" ht="13">
      <c r="G830" s="226"/>
    </row>
    <row r="831" spans="7:7" ht="13">
      <c r="G831" s="226"/>
    </row>
    <row r="832" spans="7:7" ht="13">
      <c r="G832" s="226"/>
    </row>
    <row r="833" spans="7:7" ht="13">
      <c r="G833" s="226"/>
    </row>
    <row r="834" spans="7:7" ht="13">
      <c r="G834" s="226"/>
    </row>
    <row r="835" spans="7:7" ht="13">
      <c r="G835" s="226"/>
    </row>
    <row r="836" spans="7:7" ht="13">
      <c r="G836" s="226"/>
    </row>
    <row r="837" spans="7:7" ht="13">
      <c r="G837" s="226"/>
    </row>
    <row r="838" spans="7:7" ht="13">
      <c r="G838" s="226"/>
    </row>
    <row r="839" spans="7:7" ht="13">
      <c r="G839" s="226"/>
    </row>
    <row r="840" spans="7:7" ht="13">
      <c r="G840" s="226"/>
    </row>
    <row r="841" spans="7:7" ht="13">
      <c r="G841" s="226"/>
    </row>
    <row r="842" spans="7:7" ht="13">
      <c r="G842" s="226"/>
    </row>
    <row r="843" spans="7:7" ht="13">
      <c r="G843" s="226"/>
    </row>
    <row r="844" spans="7:7" ht="13">
      <c r="G844" s="226"/>
    </row>
    <row r="845" spans="7:7" ht="13">
      <c r="G845" s="226"/>
    </row>
    <row r="846" spans="7:7" ht="13">
      <c r="G846" s="226"/>
    </row>
    <row r="847" spans="7:7" ht="13">
      <c r="G847" s="226"/>
    </row>
    <row r="848" spans="7:7" ht="13">
      <c r="G848" s="226"/>
    </row>
    <row r="849" spans="7:7" ht="13">
      <c r="G849" s="226"/>
    </row>
    <row r="850" spans="7:7" ht="13">
      <c r="G850" s="226"/>
    </row>
    <row r="851" spans="7:7" ht="13">
      <c r="G851" s="226"/>
    </row>
    <row r="852" spans="7:7" ht="13">
      <c r="G852" s="226"/>
    </row>
    <row r="853" spans="7:7" ht="13">
      <c r="G853" s="226"/>
    </row>
    <row r="854" spans="7:7" ht="13">
      <c r="G854" s="226"/>
    </row>
    <row r="855" spans="7:7" ht="13">
      <c r="G855" s="226"/>
    </row>
    <row r="856" spans="7:7" ht="13">
      <c r="G856" s="226"/>
    </row>
    <row r="857" spans="7:7" ht="13">
      <c r="G857" s="226"/>
    </row>
    <row r="858" spans="7:7" ht="13">
      <c r="G858" s="226"/>
    </row>
    <row r="859" spans="7:7" ht="13">
      <c r="G859" s="226"/>
    </row>
    <row r="860" spans="7:7" ht="13">
      <c r="G860" s="226"/>
    </row>
    <row r="861" spans="7:7" ht="13">
      <c r="G861" s="226"/>
    </row>
    <row r="862" spans="7:7" ht="13">
      <c r="G862" s="226"/>
    </row>
    <row r="863" spans="7:7" ht="13">
      <c r="G863" s="226"/>
    </row>
    <row r="864" spans="7:7" ht="13">
      <c r="G864" s="226"/>
    </row>
    <row r="865" spans="7:7" ht="13">
      <c r="G865" s="226"/>
    </row>
    <row r="866" spans="7:7" ht="13">
      <c r="G866" s="226"/>
    </row>
    <row r="867" spans="7:7" ht="13">
      <c r="G867" s="226"/>
    </row>
    <row r="868" spans="7:7" ht="13">
      <c r="G868" s="226"/>
    </row>
    <row r="869" spans="7:7" ht="13">
      <c r="G869" s="226"/>
    </row>
    <row r="870" spans="7:7" ht="13">
      <c r="G870" s="226"/>
    </row>
    <row r="871" spans="7:7" ht="13">
      <c r="G871" s="226"/>
    </row>
    <row r="872" spans="7:7" ht="13">
      <c r="G872" s="226"/>
    </row>
    <row r="873" spans="7:7" ht="13">
      <c r="G873" s="226"/>
    </row>
    <row r="874" spans="7:7" ht="13">
      <c r="G874" s="226"/>
    </row>
    <row r="875" spans="7:7" ht="13">
      <c r="G875" s="226"/>
    </row>
    <row r="876" spans="7:7" ht="13">
      <c r="G876" s="226"/>
    </row>
    <row r="877" spans="7:7" ht="13">
      <c r="G877" s="226"/>
    </row>
    <row r="878" spans="7:7" ht="13">
      <c r="G878" s="226"/>
    </row>
    <row r="879" spans="7:7" ht="13">
      <c r="G879" s="226"/>
    </row>
    <row r="880" spans="7:7" ht="13">
      <c r="G880" s="226"/>
    </row>
    <row r="881" spans="7:7" ht="13">
      <c r="G881" s="226"/>
    </row>
    <row r="882" spans="7:7" ht="13">
      <c r="G882" s="226"/>
    </row>
    <row r="883" spans="7:7" ht="13">
      <c r="G883" s="226"/>
    </row>
    <row r="884" spans="7:7" ht="13">
      <c r="G884" s="226"/>
    </row>
    <row r="885" spans="7:7" ht="13">
      <c r="G885" s="226"/>
    </row>
    <row r="886" spans="7:7" ht="13">
      <c r="G886" s="226"/>
    </row>
    <row r="887" spans="7:7" ht="13">
      <c r="G887" s="226"/>
    </row>
    <row r="888" spans="7:7" ht="13">
      <c r="G888" s="226"/>
    </row>
    <row r="889" spans="7:7" ht="13">
      <c r="G889" s="226"/>
    </row>
    <row r="890" spans="7:7" ht="13">
      <c r="G890" s="226"/>
    </row>
    <row r="891" spans="7:7" ht="13">
      <c r="G891" s="226"/>
    </row>
    <row r="892" spans="7:7" ht="13">
      <c r="G892" s="226"/>
    </row>
    <row r="893" spans="7:7" ht="13">
      <c r="G893" s="226"/>
    </row>
    <row r="894" spans="7:7" ht="13">
      <c r="G894" s="226"/>
    </row>
    <row r="895" spans="7:7" ht="13">
      <c r="G895" s="226"/>
    </row>
    <row r="896" spans="7:7" ht="13">
      <c r="G896" s="226"/>
    </row>
    <row r="897" spans="7:7" ht="13">
      <c r="G897" s="226"/>
    </row>
    <row r="898" spans="7:7" ht="13">
      <c r="G898" s="226"/>
    </row>
    <row r="899" spans="7:7" ht="13">
      <c r="G899" s="226"/>
    </row>
    <row r="900" spans="7:7" ht="13">
      <c r="G900" s="226"/>
    </row>
    <row r="901" spans="7:7" ht="13">
      <c r="G901" s="226"/>
    </row>
    <row r="902" spans="7:7" ht="13">
      <c r="G902" s="226"/>
    </row>
    <row r="903" spans="7:7" ht="13">
      <c r="G903" s="226"/>
    </row>
    <row r="904" spans="7:7" ht="13">
      <c r="G904" s="226"/>
    </row>
    <row r="905" spans="7:7" ht="13">
      <c r="G905" s="226"/>
    </row>
    <row r="906" spans="7:7" ht="13">
      <c r="G906" s="226"/>
    </row>
    <row r="907" spans="7:7" ht="13">
      <c r="G907" s="226"/>
    </row>
    <row r="908" spans="7:7" ht="13">
      <c r="G908" s="226"/>
    </row>
    <row r="909" spans="7:7" ht="13">
      <c r="G909" s="226"/>
    </row>
    <row r="910" spans="7:7" ht="13">
      <c r="G910" s="226"/>
    </row>
    <row r="911" spans="7:7" ht="13">
      <c r="G911" s="226"/>
    </row>
    <row r="912" spans="7:7" ht="13">
      <c r="G912" s="226"/>
    </row>
    <row r="913" spans="7:7" ht="13">
      <c r="G913" s="226"/>
    </row>
    <row r="914" spans="7:7" ht="13">
      <c r="G914" s="226"/>
    </row>
    <row r="915" spans="7:7" ht="13">
      <c r="G915" s="226"/>
    </row>
    <row r="916" spans="7:7" ht="13">
      <c r="G916" s="226"/>
    </row>
    <row r="917" spans="7:7" ht="13">
      <c r="G917" s="226"/>
    </row>
    <row r="918" spans="7:7" ht="13">
      <c r="G918" s="226"/>
    </row>
    <row r="919" spans="7:7" ht="13">
      <c r="G919" s="226"/>
    </row>
    <row r="920" spans="7:7" ht="13">
      <c r="G920" s="226"/>
    </row>
    <row r="921" spans="7:7" ht="13">
      <c r="G921" s="226"/>
    </row>
    <row r="922" spans="7:7" ht="13">
      <c r="G922" s="226"/>
    </row>
    <row r="923" spans="7:7" ht="13">
      <c r="G923" s="226"/>
    </row>
    <row r="924" spans="7:7" ht="13">
      <c r="G924" s="226"/>
    </row>
    <row r="925" spans="7:7" ht="13">
      <c r="G925" s="226"/>
    </row>
    <row r="926" spans="7:7" ht="13">
      <c r="G926" s="226"/>
    </row>
    <row r="927" spans="7:7" ht="13">
      <c r="G927" s="226"/>
    </row>
    <row r="928" spans="7:7" ht="13">
      <c r="G928" s="226"/>
    </row>
    <row r="929" spans="7:7" ht="13">
      <c r="G929" s="226"/>
    </row>
    <row r="930" spans="7:7" ht="13">
      <c r="G930" s="226"/>
    </row>
    <row r="931" spans="7:7" ht="13">
      <c r="G931" s="226"/>
    </row>
    <row r="932" spans="7:7" ht="13">
      <c r="G932" s="226"/>
    </row>
    <row r="933" spans="7:7" ht="13">
      <c r="G933" s="226"/>
    </row>
    <row r="934" spans="7:7" ht="13">
      <c r="G934" s="226"/>
    </row>
    <row r="935" spans="7:7" ht="13">
      <c r="G935" s="226"/>
    </row>
    <row r="936" spans="7:7" ht="13">
      <c r="G936" s="226"/>
    </row>
    <row r="937" spans="7:7" ht="13">
      <c r="G937" s="226"/>
    </row>
    <row r="938" spans="7:7" ht="13">
      <c r="G938" s="226"/>
    </row>
    <row r="939" spans="7:7" ht="13">
      <c r="G939" s="226"/>
    </row>
    <row r="940" spans="7:7" ht="13">
      <c r="G940" s="226"/>
    </row>
    <row r="941" spans="7:7" ht="13">
      <c r="G941" s="226"/>
    </row>
    <row r="942" spans="7:7" ht="13">
      <c r="G942" s="226"/>
    </row>
    <row r="943" spans="7:7" ht="13">
      <c r="G943" s="226"/>
    </row>
    <row r="944" spans="7:7" ht="13">
      <c r="G944" s="226"/>
    </row>
    <row r="945" spans="7:7" ht="13">
      <c r="G945" s="226"/>
    </row>
    <row r="946" spans="7:7" ht="13">
      <c r="G946" s="226"/>
    </row>
    <row r="947" spans="7:7" ht="13">
      <c r="G947" s="226"/>
    </row>
    <row r="948" spans="7:7" ht="13">
      <c r="G948" s="226"/>
    </row>
    <row r="949" spans="7:7" ht="13">
      <c r="G949" s="226"/>
    </row>
    <row r="950" spans="7:7" ht="13">
      <c r="G950" s="226"/>
    </row>
    <row r="951" spans="7:7" ht="13">
      <c r="G951" s="226"/>
    </row>
    <row r="952" spans="7:7" ht="13">
      <c r="G952" s="226"/>
    </row>
    <row r="953" spans="7:7" ht="13">
      <c r="G953" s="226"/>
    </row>
    <row r="954" spans="7:7" ht="13">
      <c r="G954" s="226"/>
    </row>
    <row r="955" spans="7:7" ht="13">
      <c r="G955" s="226"/>
    </row>
    <row r="956" spans="7:7" ht="13">
      <c r="G956" s="226"/>
    </row>
    <row r="957" spans="7:7" ht="13">
      <c r="G957" s="226"/>
    </row>
    <row r="958" spans="7:7" ht="13">
      <c r="G958" s="226"/>
    </row>
    <row r="959" spans="7:7" ht="13">
      <c r="G959" s="226"/>
    </row>
    <row r="960" spans="7:7" ht="13">
      <c r="G960" s="226"/>
    </row>
    <row r="961" spans="7:7" ht="13">
      <c r="G961" s="226"/>
    </row>
    <row r="962" spans="7:7" ht="13">
      <c r="G962" s="226"/>
    </row>
    <row r="963" spans="7:7" ht="13">
      <c r="G963" s="226"/>
    </row>
    <row r="964" spans="7:7" ht="13">
      <c r="G964" s="226"/>
    </row>
    <row r="965" spans="7:7" ht="13">
      <c r="G965" s="226"/>
    </row>
    <row r="966" spans="7:7" ht="13">
      <c r="G966" s="226"/>
    </row>
    <row r="967" spans="7:7" ht="13">
      <c r="G967" s="226"/>
    </row>
    <row r="968" spans="7:7" ht="13">
      <c r="G968" s="226"/>
    </row>
    <row r="969" spans="7:7" ht="13">
      <c r="G969" s="226"/>
    </row>
    <row r="970" spans="7:7" ht="13">
      <c r="G970" s="226"/>
    </row>
    <row r="971" spans="7:7" ht="13">
      <c r="G971" s="226"/>
    </row>
    <row r="972" spans="7:7" ht="13">
      <c r="G972" s="226"/>
    </row>
    <row r="973" spans="7:7" ht="13">
      <c r="G973" s="226"/>
    </row>
    <row r="974" spans="7:7" ht="13"/>
    <row r="975" spans="7:7" ht="13"/>
    <row r="976" spans="7:7" ht="13"/>
    <row r="977" ht="13"/>
    <row r="978" ht="13"/>
    <row r="979" ht="13"/>
    <row r="980" ht="13"/>
    <row r="981" ht="13"/>
    <row r="982" ht="13"/>
    <row r="983" ht="13"/>
    <row r="984" ht="13"/>
    <row r="985" ht="13"/>
    <row r="986" ht="13"/>
    <row r="987" ht="13"/>
    <row r="988" ht="13"/>
    <row r="989" ht="13"/>
    <row r="990" ht="13"/>
    <row r="991" ht="13"/>
    <row r="992" ht="13"/>
    <row r="993" ht="13"/>
    <row r="994" ht="13"/>
    <row r="995" ht="13"/>
    <row r="996" ht="13"/>
    <row r="997" ht="13"/>
    <row r="998" ht="13"/>
    <row r="999" ht="13"/>
    <row r="1000" ht="13"/>
    <row r="1001" ht="13"/>
    <row r="1002" ht="13"/>
    <row r="1003" ht="13"/>
    <row r="1004" ht="13"/>
    <row r="1005" ht="13"/>
    <row r="1006" ht="13"/>
    <row r="1007" ht="13"/>
    <row r="1008" ht="13"/>
    <row r="1009" ht="13"/>
    <row r="1010" ht="13"/>
    <row r="1011" ht="13"/>
    <row r="1012" ht="13"/>
    <row r="1013" ht="13"/>
    <row r="1014" ht="13"/>
    <row r="1015" ht="13"/>
    <row r="1016" ht="13"/>
    <row r="1017" ht="13"/>
    <row r="1018" ht="13"/>
    <row r="1019" ht="13"/>
    <row r="1020" ht="13"/>
    <row r="1021" ht="13"/>
    <row r="1022" ht="13"/>
    <row r="1023" ht="13"/>
    <row r="1024" ht="13"/>
    <row r="1025" ht="13"/>
    <row r="1026" ht="13"/>
    <row r="1027" ht="13"/>
    <row r="1028" ht="13"/>
    <row r="1029" ht="13"/>
    <row r="1030" ht="13"/>
    <row r="1031" ht="13"/>
    <row r="1032" ht="13"/>
    <row r="1033" ht="13"/>
    <row r="1034" ht="13"/>
    <row r="1035" ht="13"/>
    <row r="1036" ht="13"/>
    <row r="1037" ht="13"/>
    <row r="1038" ht="13"/>
    <row r="1039" ht="13"/>
    <row r="1040" ht="13"/>
    <row r="1041" ht="13"/>
    <row r="1042" ht="13"/>
    <row r="1043" ht="13"/>
    <row r="1044" ht="13"/>
    <row r="1045" ht="13"/>
    <row r="1046" ht="13"/>
    <row r="1047" ht="13"/>
    <row r="1048" ht="13"/>
    <row r="1049" ht="13"/>
    <row r="1050" ht="13"/>
    <row r="1051" ht="13"/>
    <row r="1052" ht="13"/>
    <row r="1053" ht="13"/>
    <row r="1054" ht="13"/>
    <row r="1055" ht="13"/>
    <row r="1056" ht="13"/>
    <row r="1057" ht="13"/>
    <row r="1058" ht="13"/>
    <row r="1059" ht="13"/>
    <row r="1060" ht="13"/>
    <row r="1061" ht="13"/>
    <row r="1062" ht="13"/>
    <row r="1063" ht="13"/>
    <row r="1064" ht="13"/>
    <row r="1065" ht="13"/>
    <row r="1066" ht="13"/>
    <row r="1067" ht="13"/>
    <row r="1068" ht="13"/>
    <row r="1069" ht="13"/>
    <row r="1070" ht="13"/>
    <row r="1071" ht="13"/>
    <row r="1072" ht="13"/>
  </sheetData>
  <customSheetViews>
    <customSheetView guid="{690C070F-8107-459A-B949-BA7C433CC32D}" filter="1" showAutoFilter="1">
      <pageMargins left="0.7" right="0.7" top="0.75" bottom="0.75" header="0.3" footer="0.3"/>
      <autoFilter ref="A1:V90" xr:uid="{00000000-0000-0000-0000-000000000000}"/>
    </customSheetView>
  </customSheetViews>
  <conditionalFormatting sqref="B1 B3:B973">
    <cfRule type="cellIs" dxfId="422" priority="1" operator="between">
      <formula>50</formula>
      <formula>200</formula>
    </cfRule>
  </conditionalFormatting>
  <conditionalFormatting sqref="B1 B3:B973">
    <cfRule type="cellIs" dxfId="421" priority="2" operator="between">
      <formula>201</formula>
      <formula>400</formula>
    </cfRule>
  </conditionalFormatting>
  <conditionalFormatting sqref="B3:B968">
    <cfRule type="cellIs" dxfId="420" priority="3" operator="between">
      <formula>401</formula>
      <formula>650</formula>
    </cfRule>
  </conditionalFormatting>
  <conditionalFormatting sqref="B3:B968">
    <cfRule type="cellIs" dxfId="419" priority="4" operator="between">
      <formula>651</formula>
      <formula>900</formula>
    </cfRule>
  </conditionalFormatting>
  <conditionalFormatting sqref="B3:B968">
    <cfRule type="cellIs" dxfId="418" priority="5" operator="greaterThan">
      <formula>900</formula>
    </cfRule>
  </conditionalFormatting>
  <conditionalFormatting sqref="D3:D36">
    <cfRule type="colorScale" priority="8">
      <colorScale>
        <cfvo type="formula" val="1.2"/>
        <cfvo type="formula" val="4"/>
        <color rgb="FF0B5394"/>
        <color rgb="FFFFFFFF"/>
      </colorScale>
    </cfRule>
  </conditionalFormatting>
  <conditionalFormatting sqref="E3:E36">
    <cfRule type="colorScale" priority="9">
      <colorScale>
        <cfvo type="formula" val="65"/>
        <cfvo type="formula" val="100"/>
        <color rgb="FFD9D2E9"/>
        <color rgb="FF674EA7"/>
      </colorScale>
    </cfRule>
  </conditionalFormatting>
  <conditionalFormatting sqref="D3:D36">
    <cfRule type="containsText" dxfId="417" priority="10" operator="containsText" text="1.2">
      <formula>NOT(ISERROR(SEARCH(("1.2"),(D3))))</formula>
    </cfRule>
  </conditionalFormatting>
  <conditionalFormatting sqref="D12">
    <cfRule type="notContainsBlanks" dxfId="416" priority="11">
      <formula>LEN(TRIM(D12))&gt;0</formula>
    </cfRule>
  </conditionalFormatting>
  <conditionalFormatting sqref="D3:D36">
    <cfRule type="containsText" dxfId="415" priority="12" operator="containsText" text="1.4">
      <formula>NOT(ISERROR(SEARCH(("1.4"),(D3))))</formula>
    </cfRule>
  </conditionalFormatting>
  <conditionalFormatting sqref="D3:D36">
    <cfRule type="containsText" dxfId="414" priority="13" operator="containsText" text="1.8">
      <formula>NOT(ISERROR(SEARCH(("1.8"),(D3))))</formula>
    </cfRule>
  </conditionalFormatting>
  <conditionalFormatting sqref="H3:H36">
    <cfRule type="cellIs" dxfId="413" priority="17" operator="between">
      <formula>0.24</formula>
      <formula>0.45</formula>
    </cfRule>
  </conditionalFormatting>
  <conditionalFormatting sqref="H3:H36">
    <cfRule type="cellIs" dxfId="412" priority="18" operator="between">
      <formula>0.45</formula>
      <formula>0.99</formula>
    </cfRule>
  </conditionalFormatting>
  <conditionalFormatting sqref="H3:H36">
    <cfRule type="cellIs" dxfId="411" priority="19" operator="greaterThan">
      <formula>0.99</formula>
    </cfRule>
  </conditionalFormatting>
  <conditionalFormatting sqref="A3:A36">
    <cfRule type="expression" dxfId="410" priority="140">
      <formula>(TODAY()-#REF!)&lt;0</formula>
    </cfRule>
  </conditionalFormatting>
  <conditionalFormatting sqref="A3:A36">
    <cfRule type="expression" dxfId="409" priority="141">
      <formula>(TODAY()-#REF!)&lt;180</formula>
    </cfRule>
  </conditionalFormatting>
  <conditionalFormatting sqref="F1:F973">
    <cfRule type="colorScale" priority="163">
      <colorScale>
        <cfvo type="min"/>
        <cfvo type="formula" val="150"/>
        <color rgb="FFEAD1DC"/>
        <color rgb="FFA64D79"/>
      </colorScale>
    </cfRule>
  </conditionalFormatting>
  <hyperlinks>
    <hyperlink ref="L1" r:id="rId1"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101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39.1640625" customWidth="1"/>
    <col min="2" max="2" width="6.5" customWidth="1"/>
    <col min="3" max="3" width="8.1640625" customWidth="1"/>
    <col min="4" max="4" width="8" customWidth="1"/>
    <col min="5" max="6" width="7.33203125" customWidth="1"/>
    <col min="7" max="7" width="4" customWidth="1"/>
    <col min="8" max="8" width="7.1640625" customWidth="1"/>
    <col min="9" max="9" width="4.5" customWidth="1"/>
    <col min="10" max="10" width="7.6640625" customWidth="1"/>
    <col min="11" max="14" width="4" customWidth="1"/>
    <col min="15" max="15" width="7.5" customWidth="1"/>
    <col min="16" max="16" width="5.5" customWidth="1"/>
    <col min="17" max="17" width="5" customWidth="1"/>
    <col min="18" max="18" width="6.1640625" customWidth="1"/>
    <col min="19" max="19" width="13.33203125" customWidth="1"/>
    <col min="20" max="20" width="5.83203125" customWidth="1"/>
  </cols>
  <sheetData>
    <row r="1" spans="1:21" ht="76.5" customHeight="1">
      <c r="A1" s="1" t="s">
        <v>0</v>
      </c>
      <c r="B1" s="2" t="s">
        <v>1</v>
      </c>
      <c r="C1" s="3" t="s">
        <v>2</v>
      </c>
      <c r="D1" s="4" t="s">
        <v>3</v>
      </c>
      <c r="E1" s="5" t="s">
        <v>4</v>
      </c>
      <c r="F1" s="6" t="s">
        <v>5</v>
      </c>
      <c r="G1" s="7" t="s">
        <v>6</v>
      </c>
      <c r="H1" s="8" t="s">
        <v>7</v>
      </c>
      <c r="I1" s="3" t="s">
        <v>8</v>
      </c>
      <c r="J1" s="9" t="s">
        <v>17</v>
      </c>
      <c r="K1" s="10" t="s">
        <v>18</v>
      </c>
      <c r="L1" s="11" t="s">
        <v>19</v>
      </c>
      <c r="M1" s="10" t="s">
        <v>20</v>
      </c>
      <c r="N1" s="12" t="s">
        <v>21</v>
      </c>
      <c r="O1" s="3" t="s">
        <v>10</v>
      </c>
      <c r="P1" s="5" t="s">
        <v>11</v>
      </c>
      <c r="Q1" s="3" t="s">
        <v>12</v>
      </c>
      <c r="R1" s="3" t="s">
        <v>13</v>
      </c>
      <c r="S1" s="3" t="s">
        <v>14</v>
      </c>
      <c r="T1" s="3" t="s">
        <v>15</v>
      </c>
      <c r="U1" s="13" t="s">
        <v>22</v>
      </c>
    </row>
    <row r="2" spans="1:21" ht="18" customHeight="1">
      <c r="A2" s="14" t="s">
        <v>23</v>
      </c>
      <c r="B2" s="15"/>
      <c r="C2" s="15"/>
      <c r="D2" s="15"/>
      <c r="E2" s="15"/>
      <c r="F2" s="15"/>
      <c r="G2" s="16"/>
      <c r="H2" s="17"/>
      <c r="I2" s="15"/>
      <c r="J2" s="15"/>
      <c r="K2" s="15"/>
      <c r="L2" s="15"/>
      <c r="M2" s="15"/>
      <c r="N2" s="15"/>
      <c r="O2" s="15"/>
      <c r="P2" s="16"/>
      <c r="Q2" s="15"/>
      <c r="R2" s="16"/>
      <c r="S2" s="18"/>
      <c r="T2" s="16"/>
    </row>
    <row r="3" spans="1:21" ht="13">
      <c r="A3" s="20" t="str">
        <f>HYPERLINK("https://phillipreeve.net/blog/review-laowa-10-18mm-4-5-5-6-fe-c-dreamer/","Laowa 10-18mm F4.5-5.6 FE C-Dreamer")</f>
        <v>Laowa 10-18mm F4.5-5.6 FE C-Dreamer</v>
      </c>
      <c r="B3" s="22">
        <v>499</v>
      </c>
      <c r="C3" s="24">
        <v>10</v>
      </c>
      <c r="D3" s="26">
        <v>4.5</v>
      </c>
      <c r="E3" s="28">
        <v>70</v>
      </c>
      <c r="F3" s="28">
        <v>81</v>
      </c>
      <c r="G3" s="30" t="s">
        <v>25</v>
      </c>
      <c r="H3" s="32" t="s">
        <v>26</v>
      </c>
      <c r="I3" s="34">
        <v>0.18</v>
      </c>
      <c r="J3" s="36">
        <v>849</v>
      </c>
      <c r="K3" s="38"/>
      <c r="L3" s="41" t="str">
        <f>HYPERLINK("https://www.bhphotovideo.com/c/product/1018382-REG/samyang_sy14m_e_14mm_f_2_8_ed_as.html/BI/19619/KBID/12129/DFF/d10-v21-t1-x476887/SID/EZ","link*")</f>
        <v>link*</v>
      </c>
      <c r="M3" s="38"/>
      <c r="N3" s="38"/>
      <c r="O3" s="43">
        <v>15</v>
      </c>
      <c r="P3" s="45" t="s">
        <v>27</v>
      </c>
      <c r="Q3" s="34">
        <v>5</v>
      </c>
      <c r="R3" s="46" t="s">
        <v>30</v>
      </c>
      <c r="S3" s="34" t="s">
        <v>31</v>
      </c>
      <c r="T3" s="34"/>
      <c r="U3" s="48" t="s">
        <v>32</v>
      </c>
    </row>
    <row r="4" spans="1:21" ht="13">
      <c r="A4" s="49" t="s">
        <v>33</v>
      </c>
      <c r="B4" s="50"/>
      <c r="C4" s="51">
        <v>12</v>
      </c>
      <c r="D4" s="52">
        <v>2.8</v>
      </c>
      <c r="E4" s="53">
        <v>77</v>
      </c>
      <c r="F4" s="54">
        <v>99</v>
      </c>
      <c r="G4" s="55" t="s">
        <v>25</v>
      </c>
      <c r="H4" s="57" t="s">
        <v>26</v>
      </c>
      <c r="I4" s="59"/>
      <c r="J4" s="61">
        <v>479</v>
      </c>
      <c r="K4" s="63"/>
      <c r="L4" s="69" t="str">
        <f>HYPERLINK("https://www.bhphotovideo.com/c/product/1131985-REG/samyang_sy12m_e_12mm_f2_8_full_frame.html/BI/19619/KBID/12129/DFF/d10-v21-t1-x616677/SID/EZ","link*")</f>
        <v>link*</v>
      </c>
      <c r="M4" s="63"/>
      <c r="N4" s="63"/>
      <c r="O4" s="71">
        <v>20</v>
      </c>
      <c r="P4" s="73" t="s">
        <v>27</v>
      </c>
      <c r="Q4" s="59">
        <v>7</v>
      </c>
      <c r="R4" s="75" t="s">
        <v>37</v>
      </c>
      <c r="S4" s="59" t="s">
        <v>38</v>
      </c>
      <c r="T4" s="59"/>
      <c r="U4" s="77" t="s">
        <v>39</v>
      </c>
    </row>
    <row r="5" spans="1:21" ht="13">
      <c r="A5" s="20" t="str">
        <f>HYPERLINK("https://phillipreeve.net/blog/review-laowa-12mm-2-8-zero-d/","Venus Optics Laowa 12mm f/2.8 Zero-D")</f>
        <v>Venus Optics Laowa 12mm f/2.8 Zero-D</v>
      </c>
      <c r="B5" s="22">
        <v>640</v>
      </c>
      <c r="C5" s="24">
        <v>12</v>
      </c>
      <c r="D5" s="26">
        <v>2.8</v>
      </c>
      <c r="E5" s="80">
        <v>78</v>
      </c>
      <c r="F5" s="82">
        <v>114.5</v>
      </c>
      <c r="G5" s="30" t="s">
        <v>25</v>
      </c>
      <c r="H5" s="32" t="s">
        <v>26</v>
      </c>
      <c r="I5" s="34">
        <v>0.18</v>
      </c>
      <c r="J5" s="36">
        <v>949</v>
      </c>
      <c r="K5" s="38"/>
      <c r="L5" s="41" t="str">
        <f>HYPERLINK("https://www.bhphotovideo.com/c/product/1283916-REG/venus_optics_ve1228sef_laowa_12mm_f_2_8_zero_d.html/BI/19619/KBID/12129/DFF/d10-v21-t1-x766506/SID/EZ","link*")</f>
        <v>link*</v>
      </c>
      <c r="M5" s="38"/>
      <c r="N5" s="38"/>
      <c r="O5" s="43">
        <v>18</v>
      </c>
      <c r="P5" s="45" t="s">
        <v>27</v>
      </c>
      <c r="Q5" s="34">
        <v>7</v>
      </c>
      <c r="R5" s="46" t="s">
        <v>42</v>
      </c>
      <c r="S5" s="34" t="s">
        <v>31</v>
      </c>
      <c r="T5" s="34"/>
      <c r="U5" s="48" t="s">
        <v>32</v>
      </c>
    </row>
    <row r="6" spans="1:21" ht="13">
      <c r="A6" s="85" t="str">
        <f>HYPERLINK("https://phillipreeve.net/blog/review-samyang-14mm-2-8/","Samyang 14mm f/2.8 ES AS IF UMC")</f>
        <v>Samyang 14mm f/2.8 ES AS IF UMC</v>
      </c>
      <c r="B6" s="87">
        <v>570</v>
      </c>
      <c r="C6" s="89">
        <v>14</v>
      </c>
      <c r="D6" s="90">
        <v>2.8</v>
      </c>
      <c r="E6" s="91">
        <v>87</v>
      </c>
      <c r="F6" s="92">
        <v>122</v>
      </c>
      <c r="G6" s="93" t="s">
        <v>25</v>
      </c>
      <c r="H6" s="94" t="s">
        <v>26</v>
      </c>
      <c r="I6" s="96">
        <v>6.6000000000000003E-2</v>
      </c>
      <c r="J6" s="98">
        <v>329</v>
      </c>
      <c r="K6" s="99"/>
      <c r="L6" s="102" t="str">
        <f>HYPERLINK("https://www.bhphotovideo.com/c/product/1018382-REG/samyang_sy14m_e_14mm_f_2_8_ed_as.html/BI/19619/KBID/12129/DFF/d10-v21-t1-x476887/SID/EZ","link*")</f>
        <v>link*</v>
      </c>
      <c r="M6" s="99"/>
      <c r="N6" s="99"/>
      <c r="O6" s="104">
        <v>29</v>
      </c>
      <c r="P6" s="105" t="s">
        <v>27</v>
      </c>
      <c r="Q6" s="96">
        <v>6</v>
      </c>
      <c r="R6" s="107" t="s">
        <v>30</v>
      </c>
      <c r="S6" s="96" t="s">
        <v>38</v>
      </c>
      <c r="T6" s="96"/>
      <c r="U6" s="48" t="s">
        <v>32</v>
      </c>
    </row>
    <row r="7" spans="1:21" ht="13">
      <c r="A7" s="111" t="str">
        <f>HYPERLINK("https://phillipreeve.net/blog/rolling-review-laowa-15mm-2-0-zero-d/","Laowa 15mm F2.0 D-Dreamer")</f>
        <v>Laowa 15mm F2.0 D-Dreamer</v>
      </c>
      <c r="B7" s="50">
        <v>520</v>
      </c>
      <c r="C7" s="51">
        <v>15</v>
      </c>
      <c r="D7" s="52">
        <v>2</v>
      </c>
      <c r="E7" s="53">
        <v>77</v>
      </c>
      <c r="F7" s="54">
        <v>83</v>
      </c>
      <c r="G7" s="55" t="s">
        <v>25</v>
      </c>
      <c r="H7" s="57">
        <v>72</v>
      </c>
      <c r="I7" s="59">
        <v>0.25</v>
      </c>
      <c r="J7" s="61">
        <v>849</v>
      </c>
      <c r="K7" s="63"/>
      <c r="L7" s="69" t="str">
        <f>HYPERLINK("https://www.bhphotovideo.com/c/product/1357085-REG/venus_optics_ve1520sfe_15mm_f_2_0_fe_zero_d.html/BI/19619/KBID/12129/DFF/d10-v21-t1-x841572/SID/EZ","link*")</f>
        <v>link*</v>
      </c>
      <c r="M7" s="63"/>
      <c r="N7" s="63"/>
      <c r="O7" s="71">
        <v>15</v>
      </c>
      <c r="P7" s="73" t="s">
        <v>27</v>
      </c>
      <c r="Q7" s="59">
        <v>7</v>
      </c>
      <c r="R7" s="75" t="s">
        <v>50</v>
      </c>
      <c r="S7" s="59" t="s">
        <v>31</v>
      </c>
      <c r="T7" s="59"/>
      <c r="U7" s="77" t="s">
        <v>32</v>
      </c>
    </row>
    <row r="8" spans="1:21" ht="13">
      <c r="A8" s="20" t="str">
        <f>HYPERLINK("https://phillipreeve.net/blog/review-laowa-15mm-4-0-macro/","Venus Optics Laowa 15mm f/4 Macro")</f>
        <v>Venus Optics Laowa 15mm f/4 Macro</v>
      </c>
      <c r="B8" s="22">
        <v>470</v>
      </c>
      <c r="C8" s="24">
        <v>15</v>
      </c>
      <c r="D8" s="26">
        <v>4</v>
      </c>
      <c r="E8" s="80">
        <v>84</v>
      </c>
      <c r="F8" s="82">
        <v>94</v>
      </c>
      <c r="G8" s="30" t="s">
        <v>25</v>
      </c>
      <c r="H8" s="32" t="s">
        <v>26</v>
      </c>
      <c r="I8" s="34">
        <v>1</v>
      </c>
      <c r="J8" s="36">
        <v>499</v>
      </c>
      <c r="K8" s="38"/>
      <c r="L8" s="41" t="str">
        <f>HYPERLINK("https://www.bhphotovideo.com/c/product/1165602-REG/venus_optics_laowa_15mm_f_4_macro.html/BI/19619/KBID/12129/DFF/d10-v21-t1-x652903/SID/EZ","link*")</f>
        <v>link*</v>
      </c>
      <c r="M8" s="38"/>
      <c r="N8" s="38"/>
      <c r="O8" s="43">
        <v>12</v>
      </c>
      <c r="P8" s="45" t="s">
        <v>27</v>
      </c>
      <c r="Q8" s="34">
        <v>14</v>
      </c>
      <c r="R8" s="46" t="s">
        <v>50</v>
      </c>
      <c r="S8" s="34" t="s">
        <v>31</v>
      </c>
      <c r="T8" s="34"/>
      <c r="U8" s="48" t="s">
        <v>52</v>
      </c>
    </row>
    <row r="9" spans="1:21" ht="13">
      <c r="A9" s="114" t="s">
        <v>53</v>
      </c>
      <c r="B9" s="87">
        <v>230</v>
      </c>
      <c r="C9" s="89">
        <v>20</v>
      </c>
      <c r="D9" s="90">
        <v>2</v>
      </c>
      <c r="E9" s="91">
        <v>62</v>
      </c>
      <c r="F9" s="92">
        <v>60</v>
      </c>
      <c r="G9" s="93" t="s">
        <v>25</v>
      </c>
      <c r="H9" s="94"/>
      <c r="I9" s="96">
        <v>4.5</v>
      </c>
      <c r="J9" s="98">
        <v>199</v>
      </c>
      <c r="K9" s="99"/>
      <c r="L9" s="102" t="str">
        <f>HYPERLINK("https://www.bhphotovideo.com/c/product/1307523-REG/mitakon_zhongyi_mtk20mf2se_20mm_f_2_4_5x_super.html/BI/19619/KBID/12129/DFF/d10-v21-t1-x786936/SID/EZ","link*")</f>
        <v>link*</v>
      </c>
      <c r="M9" s="99"/>
      <c r="N9" s="99"/>
      <c r="O9" s="104">
        <v>2</v>
      </c>
      <c r="P9" s="105" t="s">
        <v>27</v>
      </c>
      <c r="Q9" s="48">
        <v>3</v>
      </c>
      <c r="R9" s="116">
        <v>43561</v>
      </c>
      <c r="S9" s="96" t="s">
        <v>57</v>
      </c>
      <c r="T9" s="96"/>
      <c r="U9" s="48" t="s">
        <v>58</v>
      </c>
    </row>
    <row r="10" spans="1:21" ht="13">
      <c r="A10" s="49" t="s">
        <v>59</v>
      </c>
      <c r="B10" s="50">
        <v>474</v>
      </c>
      <c r="C10" s="51">
        <v>24</v>
      </c>
      <c r="D10" s="52">
        <v>14</v>
      </c>
      <c r="E10" s="53">
        <v>38</v>
      </c>
      <c r="F10" s="54">
        <v>408</v>
      </c>
      <c r="G10" s="55" t="s">
        <v>25</v>
      </c>
      <c r="H10" s="57" t="s">
        <v>26</v>
      </c>
      <c r="I10" s="59">
        <v>2</v>
      </c>
      <c r="J10" s="61">
        <v>1499</v>
      </c>
      <c r="K10" s="63"/>
      <c r="L10" s="69" t="str">
        <f>HYPERLINK("https://www.bhphotovideo.com/c/product/1430596-REG/venus_optics_laowa_24mm_f_14_probe.html/BI/19619/KBID/12129/DFF/d10-v21-t1-x916725/SID/EZ","link*")</f>
        <v>link*</v>
      </c>
      <c r="M10" s="63"/>
      <c r="N10" s="63"/>
      <c r="O10" s="71">
        <v>4.7</v>
      </c>
      <c r="P10" s="73" t="s">
        <v>27</v>
      </c>
      <c r="Q10" s="77">
        <v>7</v>
      </c>
      <c r="R10" s="59" t="s">
        <v>60</v>
      </c>
      <c r="S10" s="59" t="s">
        <v>31</v>
      </c>
      <c r="T10" s="59"/>
      <c r="U10" s="77" t="s">
        <v>32</v>
      </c>
    </row>
    <row r="11" spans="1:21" ht="13">
      <c r="A11" s="117" t="s">
        <v>61</v>
      </c>
      <c r="B11" s="60">
        <v>590</v>
      </c>
      <c r="C11" s="67">
        <v>24</v>
      </c>
      <c r="D11" s="100">
        <v>1.4</v>
      </c>
      <c r="E11" s="101">
        <v>83</v>
      </c>
      <c r="F11" s="118">
        <v>123</v>
      </c>
      <c r="G11" s="119" t="s">
        <v>25</v>
      </c>
      <c r="H11" s="72">
        <v>77</v>
      </c>
      <c r="I11" s="74"/>
      <c r="J11" s="76">
        <v>549</v>
      </c>
      <c r="K11" s="121"/>
      <c r="L11" s="79" t="str">
        <f>HYPERLINK("https://www.bhphotovideo.com/c/product/1040178-REG/rokinon_rk24m_e_24mm_hd_f1_4_photo.html/BI/19619/KBID/12129/DFF/d10-v21-t1-x516635/SID/EZ","link*")</f>
        <v>link*</v>
      </c>
      <c r="M11" s="121"/>
      <c r="N11" s="121"/>
      <c r="O11" s="84">
        <v>25</v>
      </c>
      <c r="P11" s="70" t="s">
        <v>27</v>
      </c>
      <c r="Q11" s="74">
        <v>8</v>
      </c>
      <c r="R11" s="112">
        <v>43812</v>
      </c>
      <c r="S11" s="74" t="s">
        <v>38</v>
      </c>
      <c r="T11" s="125"/>
      <c r="U11" s="77" t="s">
        <v>32</v>
      </c>
    </row>
    <row r="12" spans="1:21" ht="13">
      <c r="A12" s="117" t="s">
        <v>62</v>
      </c>
      <c r="B12" s="60"/>
      <c r="C12" s="67">
        <v>24</v>
      </c>
      <c r="D12" s="100">
        <v>2.4</v>
      </c>
      <c r="E12" s="65"/>
      <c r="F12" s="65"/>
      <c r="G12" s="119" t="s">
        <v>25</v>
      </c>
      <c r="H12" s="72" t="s">
        <v>26</v>
      </c>
      <c r="I12" s="74"/>
      <c r="J12" s="76">
        <v>389</v>
      </c>
      <c r="K12" s="121"/>
      <c r="L12" s="79" t="str">
        <f>HYPERLINK("https://www.bhphotovideo.com/c/product/1456688-REG/kipon_24mm_f2_4_for_sony_e_24mm_f_2_4_lens_for.html/BI/19619/KBID/12129/DFF/d10-v21-t1-x945435/SID/EZ","link*")</f>
        <v>link*</v>
      </c>
      <c r="M12" s="121"/>
      <c r="N12" s="121"/>
      <c r="O12" s="84">
        <v>25</v>
      </c>
      <c r="P12" s="70" t="s">
        <v>27</v>
      </c>
      <c r="Q12" s="77">
        <v>6</v>
      </c>
      <c r="R12" s="112">
        <v>43654</v>
      </c>
      <c r="S12" s="74" t="s">
        <v>63</v>
      </c>
      <c r="T12" s="125"/>
      <c r="U12" s="77" t="s">
        <v>32</v>
      </c>
    </row>
    <row r="13" spans="1:21" ht="13">
      <c r="A13" s="127" t="s">
        <v>65</v>
      </c>
      <c r="B13" s="22">
        <v>734</v>
      </c>
      <c r="C13" s="24">
        <v>24</v>
      </c>
      <c r="D13" s="128">
        <v>3.5</v>
      </c>
      <c r="E13" s="129">
        <v>86</v>
      </c>
      <c r="F13" s="131">
        <v>139</v>
      </c>
      <c r="G13" s="30" t="s">
        <v>25</v>
      </c>
      <c r="H13" s="32">
        <v>82</v>
      </c>
      <c r="I13" s="34"/>
      <c r="J13" s="36">
        <v>799</v>
      </c>
      <c r="K13" s="38"/>
      <c r="L13" s="41" t="str">
        <f>HYPERLINK("https://www.bhphotovideo.com/c/product/1246780-REG/rokinon_tsl24me_t_s_24mm_f_3_5_ed.html/BI/19619/KBID/12129/DFF/d10-v21-t1-x727594/SID/EZ","link*")</f>
        <v>link*</v>
      </c>
      <c r="M13" s="38"/>
      <c r="N13" s="38"/>
      <c r="O13" s="43">
        <v>20</v>
      </c>
      <c r="P13" s="45" t="s">
        <v>27</v>
      </c>
      <c r="Q13" s="48"/>
      <c r="R13" s="138">
        <v>43785</v>
      </c>
      <c r="S13" s="34" t="s">
        <v>38</v>
      </c>
      <c r="T13" s="140"/>
      <c r="U13" s="48" t="s">
        <v>69</v>
      </c>
    </row>
    <row r="14" spans="1:21" ht="13">
      <c r="A14" s="127" t="s">
        <v>70</v>
      </c>
      <c r="B14" s="87">
        <v>400</v>
      </c>
      <c r="C14" s="89">
        <v>25</v>
      </c>
      <c r="D14" s="142">
        <v>2.8</v>
      </c>
      <c r="E14" s="144">
        <v>65</v>
      </c>
      <c r="F14" s="148">
        <v>82</v>
      </c>
      <c r="G14" s="93" t="s">
        <v>25</v>
      </c>
      <c r="H14" s="94" t="s">
        <v>26</v>
      </c>
      <c r="I14" s="96">
        <v>5</v>
      </c>
      <c r="J14" s="98">
        <v>399</v>
      </c>
      <c r="K14" s="99"/>
      <c r="L14" s="102" t="str">
        <f>HYPERLINK("https://www.bhphotovideo.com/c/product/1399604-REG/venus_optics_ve2528sfe_laowa_25mm_f_2_8_2_5_5x.html/BI/19619/KBID/12129/DFF/d10-v21-t1-x886312/SID/EZ","link*")</f>
        <v>link*</v>
      </c>
      <c r="M14" s="99"/>
      <c r="N14" s="99"/>
      <c r="O14" s="104">
        <v>17</v>
      </c>
      <c r="P14" s="105" t="s">
        <v>27</v>
      </c>
      <c r="Q14" s="48">
        <v>8</v>
      </c>
      <c r="R14" s="153">
        <v>43624</v>
      </c>
      <c r="S14" s="96" t="s">
        <v>31</v>
      </c>
      <c r="T14" s="155"/>
      <c r="U14" s="48" t="s">
        <v>74</v>
      </c>
    </row>
    <row r="15" spans="1:21" ht="13">
      <c r="A15" s="127" t="s">
        <v>75</v>
      </c>
      <c r="B15" s="87">
        <v>220</v>
      </c>
      <c r="C15" s="89">
        <v>30</v>
      </c>
      <c r="D15" s="142">
        <v>3.5</v>
      </c>
      <c r="E15" s="144"/>
      <c r="F15" s="144"/>
      <c r="G15" s="93" t="s">
        <v>25</v>
      </c>
      <c r="H15" s="94"/>
      <c r="I15" s="96"/>
      <c r="J15" s="98">
        <v>598</v>
      </c>
      <c r="K15" s="99"/>
      <c r="L15" s="102" t="str">
        <f>HYPERLINK("https://www.bhphotovideo.com/c/product/1407076-REG/meyer_optik_gorlitz_mog3530se_lydith_30mm_f_3_5_lens.html/BI/19619/KBID/12129/DFF/d10-v21-t1-x895134/SID/EZ","link*")</f>
        <v>link*</v>
      </c>
      <c r="M15" s="99"/>
      <c r="N15" s="99"/>
      <c r="O15" s="104">
        <v>16</v>
      </c>
      <c r="P15" s="105" t="s">
        <v>27</v>
      </c>
      <c r="Q15" s="48">
        <v>12</v>
      </c>
      <c r="R15" s="153">
        <v>43590</v>
      </c>
      <c r="S15" s="96" t="s">
        <v>76</v>
      </c>
      <c r="T15" s="155"/>
      <c r="U15" s="48" t="s">
        <v>32</v>
      </c>
    </row>
    <row r="16" spans="1:21" ht="13">
      <c r="A16" s="159" t="str">
        <f>HYPERLINK("https://phillipreeve.net/blog/review-slrmagic-35mm-1-2-cine/","SLR Magic Cine 35mm f/1.2")</f>
        <v>SLR Magic Cine 35mm f/1.2</v>
      </c>
      <c r="B16" s="60">
        <v>466</v>
      </c>
      <c r="C16" s="67">
        <v>35</v>
      </c>
      <c r="D16" s="100">
        <v>1.2</v>
      </c>
      <c r="E16" s="65">
        <v>65</v>
      </c>
      <c r="F16" s="65">
        <v>72</v>
      </c>
      <c r="G16" s="119" t="s">
        <v>25</v>
      </c>
      <c r="H16" s="72">
        <v>52</v>
      </c>
      <c r="I16" s="74">
        <v>0.12</v>
      </c>
      <c r="J16" s="76">
        <v>399</v>
      </c>
      <c r="K16" s="121"/>
      <c r="L16" s="79" t="str">
        <f>HYPERLINK("https://www.bhphotovideo.com/c/product/1258395-REG/slr_magic_cine_35mm_f_1_2_fe.html/BI/19619/KBID/12129/DFF/d10-v21-t1-x739492/SID/EZ","link*")</f>
        <v>link*</v>
      </c>
      <c r="M16" s="121"/>
      <c r="N16" s="121"/>
      <c r="O16" s="84">
        <v>40</v>
      </c>
      <c r="P16" s="70" t="s">
        <v>27</v>
      </c>
      <c r="Q16" s="77">
        <v>13</v>
      </c>
      <c r="R16" s="112">
        <v>43686</v>
      </c>
      <c r="S16" s="74" t="s">
        <v>79</v>
      </c>
      <c r="T16" s="125"/>
      <c r="U16" s="77"/>
    </row>
    <row r="17" spans="1:21" ht="13">
      <c r="A17" s="159" t="str">
        <f>HYPERLINK("https://phillipreeve.net/blog/review-7artisans-35-1-4/","7artisans 35mm f/1.4")</f>
        <v>7artisans 35mm f/1.4</v>
      </c>
      <c r="B17" s="50">
        <v>275</v>
      </c>
      <c r="C17" s="51">
        <v>35</v>
      </c>
      <c r="D17" s="106">
        <v>1.4</v>
      </c>
      <c r="E17" s="108"/>
      <c r="F17" s="161">
        <v>63</v>
      </c>
      <c r="G17" s="55" t="s">
        <v>25</v>
      </c>
      <c r="H17" s="57">
        <v>46</v>
      </c>
      <c r="I17" s="59"/>
      <c r="J17" s="61">
        <v>199</v>
      </c>
      <c r="K17" s="63"/>
      <c r="L17" s="63"/>
      <c r="M17" s="63"/>
      <c r="N17" s="63"/>
      <c r="O17" s="71">
        <v>40</v>
      </c>
      <c r="P17" s="73" t="s">
        <v>27</v>
      </c>
      <c r="Q17" s="77">
        <v>11</v>
      </c>
      <c r="R17" s="110">
        <v>43718</v>
      </c>
      <c r="S17" s="59" t="s">
        <v>81</v>
      </c>
      <c r="T17" s="59" t="s">
        <v>82</v>
      </c>
      <c r="U17" s="77" t="s">
        <v>83</v>
      </c>
    </row>
    <row r="18" spans="1:21" ht="13">
      <c r="A18" s="117" t="s">
        <v>84</v>
      </c>
      <c r="B18" s="60">
        <v>735</v>
      </c>
      <c r="C18" s="67">
        <v>35</v>
      </c>
      <c r="D18" s="100">
        <v>1.4</v>
      </c>
      <c r="E18" s="101">
        <v>83</v>
      </c>
      <c r="F18" s="118">
        <v>137</v>
      </c>
      <c r="G18" s="119" t="s">
        <v>25</v>
      </c>
      <c r="H18" s="72">
        <v>77</v>
      </c>
      <c r="I18" s="74"/>
      <c r="J18" s="76">
        <v>369</v>
      </c>
      <c r="K18" s="121"/>
      <c r="L18" s="79" t="str">
        <f>HYPERLINK("https://www.bhphotovideo.com/c/product/1040176-REG/rokinon_rk35m_e_35mm_hd_f1_4_photo.html/BI/19619/KBID/12129/DFF/d10-v21-t1-x516633/SID/EZ","link*")</f>
        <v>link*</v>
      </c>
      <c r="M18" s="121"/>
      <c r="N18" s="121"/>
      <c r="O18" s="84">
        <v>30</v>
      </c>
      <c r="P18" s="70" t="s">
        <v>27</v>
      </c>
      <c r="Q18" s="74">
        <v>8</v>
      </c>
      <c r="R18" s="112">
        <v>43750</v>
      </c>
      <c r="S18" s="74" t="s">
        <v>38</v>
      </c>
      <c r="T18" s="125"/>
      <c r="U18" s="77" t="s">
        <v>32</v>
      </c>
    </row>
    <row r="19" spans="1:21" ht="13">
      <c r="A19" s="117" t="s">
        <v>85</v>
      </c>
      <c r="B19" s="60">
        <v>320</v>
      </c>
      <c r="C19" s="67">
        <v>35</v>
      </c>
      <c r="D19" s="100">
        <v>2</v>
      </c>
      <c r="E19" s="101">
        <v>50</v>
      </c>
      <c r="F19" s="118">
        <v>41</v>
      </c>
      <c r="G19" s="119" t="s">
        <v>25</v>
      </c>
      <c r="H19" s="72">
        <v>43</v>
      </c>
      <c r="I19" s="74"/>
      <c r="J19" s="76">
        <v>179</v>
      </c>
      <c r="K19" s="121"/>
      <c r="L19" s="79" t="str">
        <f>HYPERLINK("https://www.bhphotovideo.com/c/product/1387955-REG/7artisans_photoelectric_7a35f2svsfeblk_35mm_f2_full_frame.html/BI/19619/KBID/12129/DFF/d10-v21-t1-x874918/SID/EZ","link*")</f>
        <v>link*</v>
      </c>
      <c r="M19" s="121"/>
      <c r="N19" s="121"/>
      <c r="O19" s="84">
        <v>35</v>
      </c>
      <c r="P19" s="70" t="s">
        <v>27</v>
      </c>
      <c r="Q19" s="74">
        <v>10</v>
      </c>
      <c r="R19" s="112">
        <v>43592</v>
      </c>
      <c r="S19" s="74" t="s">
        <v>81</v>
      </c>
      <c r="T19" s="125"/>
      <c r="U19" s="77" t="s">
        <v>32</v>
      </c>
    </row>
    <row r="20" spans="1:21" ht="13">
      <c r="A20" s="117" t="s">
        <v>89</v>
      </c>
      <c r="B20" s="60">
        <v>280</v>
      </c>
      <c r="C20" s="67">
        <v>35</v>
      </c>
      <c r="D20" s="100">
        <v>2.4</v>
      </c>
      <c r="E20" s="101">
        <v>58</v>
      </c>
      <c r="F20" s="118">
        <v>45</v>
      </c>
      <c r="G20" s="119" t="s">
        <v>25</v>
      </c>
      <c r="H20" s="72">
        <v>49</v>
      </c>
      <c r="I20" s="74"/>
      <c r="J20" s="76">
        <v>375</v>
      </c>
      <c r="K20" s="121"/>
      <c r="L20" s="79" t="str">
        <f>HYPERLINK("https://www.bhphotovideo.com/c/product/1456694-REG/kipon_35mm_f2_4_for_sony_e_35mm_f_2_4_lens_for.html/BI/19619/KBID/12129/DFF/d10-v21-t1-x945440/SID/EZ","link*")</f>
        <v>link*</v>
      </c>
      <c r="M20" s="121"/>
      <c r="N20" s="121"/>
      <c r="O20" s="84">
        <v>35</v>
      </c>
      <c r="P20" s="70" t="s">
        <v>27</v>
      </c>
      <c r="Q20" s="74">
        <v>6</v>
      </c>
      <c r="R20" s="112">
        <v>43622</v>
      </c>
      <c r="S20" s="74" t="s">
        <v>63</v>
      </c>
      <c r="T20" s="125"/>
      <c r="U20" s="77" t="s">
        <v>32</v>
      </c>
    </row>
    <row r="21" spans="1:21" ht="13">
      <c r="A21" s="127" t="s">
        <v>90</v>
      </c>
      <c r="B21" s="22">
        <v>374</v>
      </c>
      <c r="C21" s="24">
        <v>35</v>
      </c>
      <c r="D21" s="128">
        <v>2.8</v>
      </c>
      <c r="E21" s="129">
        <v>70</v>
      </c>
      <c r="F21" s="131">
        <v>67</v>
      </c>
      <c r="G21" s="30" t="s">
        <v>25</v>
      </c>
      <c r="H21" s="32">
        <v>62</v>
      </c>
      <c r="I21" s="34"/>
      <c r="J21" s="36">
        <v>499</v>
      </c>
      <c r="K21" s="38"/>
      <c r="L21" s="41" t="str">
        <f>HYPERLINK("https://www.bhphotovideo.com/c/product/1387206-REG/lensbaby_lbb35x_burnside_35mm_f_2_8_lens.html/BI/19619/KBID/12129/DFF/d10-v21-t1-x878506/SID/EZ","link*")</f>
        <v>link*</v>
      </c>
      <c r="M21" s="38"/>
      <c r="N21" s="38"/>
      <c r="O21" s="43">
        <v>15.2</v>
      </c>
      <c r="P21" s="45" t="s">
        <v>27</v>
      </c>
      <c r="Q21" s="34">
        <v>6</v>
      </c>
      <c r="R21" s="138">
        <v>43561</v>
      </c>
      <c r="S21" s="34" t="s">
        <v>93</v>
      </c>
      <c r="T21" s="140"/>
      <c r="U21" s="48" t="s">
        <v>94</v>
      </c>
    </row>
    <row r="22" spans="1:21" ht="13">
      <c r="A22" s="159" t="str">
        <f>HYPERLINK("https://phillipreeve.net/blog/review-zhong-yi-mitakon-50mm-0-95-dark-knight/","Mitakon Zhong Yi 0.95/50 II Speedmaster")</f>
        <v>Mitakon Zhong Yi 0.95/50 II Speedmaster</v>
      </c>
      <c r="B22" s="50">
        <v>780</v>
      </c>
      <c r="C22" s="51">
        <v>50</v>
      </c>
      <c r="D22" s="106">
        <v>0.95</v>
      </c>
      <c r="E22" s="108">
        <v>77</v>
      </c>
      <c r="F22" s="161">
        <v>82</v>
      </c>
      <c r="G22" s="55" t="s">
        <v>25</v>
      </c>
      <c r="H22" s="57">
        <v>67</v>
      </c>
      <c r="I22" s="59"/>
      <c r="J22" s="61">
        <v>799</v>
      </c>
      <c r="K22" s="63"/>
      <c r="L22" s="69" t="str">
        <f>HYPERLINK("https://www.bhphotovideo.com/c/product/1072733-REG/mitakon_mtk50mf095bk_50mm_for_0_95_lens.html/BI/19619/KBID/12129/DFF/d10-v21-t1-x546124/SID/EZ","link*")</f>
        <v>link*</v>
      </c>
      <c r="M22" s="63"/>
      <c r="N22" s="63"/>
      <c r="O22" s="71">
        <v>100</v>
      </c>
      <c r="P22" s="73" t="s">
        <v>27</v>
      </c>
      <c r="Q22" s="59">
        <v>9</v>
      </c>
      <c r="R22" s="110">
        <v>43656</v>
      </c>
      <c r="S22" s="59" t="s">
        <v>57</v>
      </c>
      <c r="T22" s="167"/>
      <c r="U22" s="77" t="s">
        <v>32</v>
      </c>
    </row>
    <row r="23" spans="1:21" ht="13">
      <c r="A23" s="169" t="str">
        <f>HYPERLINK("https://phillipreeve.net/blog/review-zhong-yi-mitakon-50mm-0-95-iii/","Mitakon Zhongyi 0.95/50mm III Speedmaster ")</f>
        <v xml:space="preserve">Mitakon Zhongyi 0.95/50mm III Speedmaster </v>
      </c>
      <c r="B23" s="60">
        <v>775</v>
      </c>
      <c r="C23" s="67">
        <v>50</v>
      </c>
      <c r="D23" s="64">
        <v>0.95</v>
      </c>
      <c r="E23" s="65">
        <v>74</v>
      </c>
      <c r="F23" s="118">
        <v>85</v>
      </c>
      <c r="G23" s="119" t="s">
        <v>25</v>
      </c>
      <c r="H23" s="72">
        <v>67</v>
      </c>
      <c r="I23" s="74">
        <v>0.128</v>
      </c>
      <c r="J23" s="76">
        <v>799</v>
      </c>
      <c r="K23" s="121"/>
      <c r="L23" s="79" t="str">
        <f>HYPERLINK("https://www.bhphotovideo.com/c/product/1475646-REG/mitakon_zhongyi_mtk50f095m3fe_speedmaster_50mm_f_0_95_iii.html/BI/19619/KBID/12129/DFF/d10-v21-t1-x959565/SID/EZ","link*")</f>
        <v>link*</v>
      </c>
      <c r="M23" s="113"/>
      <c r="N23" s="121"/>
      <c r="O23" s="84">
        <v>50</v>
      </c>
      <c r="P23" s="70" t="s">
        <v>27</v>
      </c>
      <c r="Q23" s="74">
        <v>11</v>
      </c>
      <c r="R23" s="112">
        <v>43656</v>
      </c>
      <c r="S23" s="74" t="s">
        <v>57</v>
      </c>
      <c r="T23" s="74"/>
      <c r="U23" s="170" t="str">
        <f>HYPERLINK("https://phillipreeve.net/blog/review-zhong-yi-mitakon-50mm-0-95-iii/","See review for some issues.")</f>
        <v>See review for some issues.</v>
      </c>
    </row>
    <row r="24" spans="1:21" ht="13">
      <c r="A24" s="169" t="str">
        <f>HYPERLINK("https://phillipreeve.net/blog/quick-review-zenitar-50mm-0-95-e/","Zenitar 0.95/50")</f>
        <v>Zenitar 0.95/50</v>
      </c>
      <c r="B24" s="60">
        <v>1110</v>
      </c>
      <c r="C24" s="67">
        <v>50</v>
      </c>
      <c r="D24" s="64">
        <v>0.95</v>
      </c>
      <c r="E24" s="65">
        <v>85</v>
      </c>
      <c r="F24" s="118">
        <v>119</v>
      </c>
      <c r="G24" s="119" t="s">
        <v>25</v>
      </c>
      <c r="H24" s="72">
        <v>72</v>
      </c>
      <c r="I24" s="74">
        <v>0.09</v>
      </c>
      <c r="J24" s="76">
        <v>900</v>
      </c>
      <c r="K24" s="121"/>
      <c r="L24" s="121"/>
      <c r="M24" s="113"/>
      <c r="N24" s="121"/>
      <c r="O24" s="84">
        <v>0.7</v>
      </c>
      <c r="P24" s="70" t="s">
        <v>27</v>
      </c>
      <c r="Q24" s="74">
        <v>14</v>
      </c>
      <c r="R24" s="112">
        <v>43686</v>
      </c>
      <c r="S24" s="74" t="s">
        <v>95</v>
      </c>
      <c r="T24" s="74"/>
      <c r="U24" s="160"/>
    </row>
    <row r="25" spans="1:21" ht="13">
      <c r="A25" s="171" t="s">
        <v>96</v>
      </c>
      <c r="B25" s="60">
        <v>556</v>
      </c>
      <c r="C25" s="67">
        <v>50</v>
      </c>
      <c r="D25" s="64">
        <v>1.4</v>
      </c>
      <c r="E25" s="65">
        <v>81</v>
      </c>
      <c r="F25" s="118">
        <v>102</v>
      </c>
      <c r="G25" s="119" t="s">
        <v>25</v>
      </c>
      <c r="H25" s="72">
        <v>77</v>
      </c>
      <c r="I25" s="74"/>
      <c r="J25" s="76">
        <v>399</v>
      </c>
      <c r="K25" s="121"/>
      <c r="L25" s="79" t="str">
        <f>HYPERLINK("https://www.bhphotovideo.com/c/product/1089940-REG/rokinon_50m_e_50mm_f_1_4_lens_for.html/BI/19619/KBID/12129/DFF/d10-v21-t1-x569675/SID/EZ","link*")</f>
        <v>link*</v>
      </c>
      <c r="M25" s="113"/>
      <c r="N25" s="121"/>
      <c r="O25" s="84">
        <v>45</v>
      </c>
      <c r="P25" s="70" t="s">
        <v>27</v>
      </c>
      <c r="Q25" s="74">
        <v>8</v>
      </c>
      <c r="R25" s="112">
        <v>43625</v>
      </c>
      <c r="S25" s="74" t="s">
        <v>38</v>
      </c>
      <c r="T25" s="74"/>
      <c r="U25" s="77" t="s">
        <v>32</v>
      </c>
    </row>
    <row r="26" spans="1:21" ht="13.5" customHeight="1">
      <c r="A26" s="171" t="s">
        <v>98</v>
      </c>
      <c r="B26" s="60">
        <v>310</v>
      </c>
      <c r="C26" s="67">
        <v>50</v>
      </c>
      <c r="D26" s="64">
        <v>1.7</v>
      </c>
      <c r="E26" s="65">
        <v>55</v>
      </c>
      <c r="F26" s="118">
        <v>61</v>
      </c>
      <c r="G26" s="119" t="s">
        <v>25</v>
      </c>
      <c r="H26" s="72">
        <v>52</v>
      </c>
      <c r="I26" s="74"/>
      <c r="J26" s="76">
        <v>109</v>
      </c>
      <c r="K26" s="121"/>
      <c r="L26" s="79" t="str">
        <f>HYPERLINK("https://www.bhphotovideo.com/c/product/1450522-REG/meike_mk50f1_7nex_mk_50mm_f1_7_for_full.html/BI/19619/KBID/12129/DFF/d10-v21-t1-x935920/SID/EZ","link*")</f>
        <v>link*</v>
      </c>
      <c r="M26" s="113"/>
      <c r="N26" s="121"/>
      <c r="O26" s="84">
        <v>50</v>
      </c>
      <c r="P26" s="70" t="s">
        <v>27</v>
      </c>
      <c r="Q26" s="74"/>
      <c r="R26" s="112">
        <v>43591</v>
      </c>
      <c r="S26" s="74" t="s">
        <v>99</v>
      </c>
      <c r="T26" s="74"/>
      <c r="U26" s="77" t="s">
        <v>32</v>
      </c>
    </row>
    <row r="27" spans="1:21" ht="13">
      <c r="A27" s="171" t="s">
        <v>100</v>
      </c>
      <c r="B27" s="60">
        <v>310</v>
      </c>
      <c r="C27" s="67">
        <v>50</v>
      </c>
      <c r="D27" s="64">
        <v>2.4</v>
      </c>
      <c r="E27" s="65">
        <v>58</v>
      </c>
      <c r="F27" s="118">
        <v>65</v>
      </c>
      <c r="G27" s="119" t="s">
        <v>25</v>
      </c>
      <c r="H27" s="72">
        <v>49</v>
      </c>
      <c r="I27" s="74"/>
      <c r="J27" s="76">
        <v>325</v>
      </c>
      <c r="K27" s="121"/>
      <c r="L27" s="79" t="str">
        <f>HYPERLINK("https://www.bhphotovideo.com/c/product/1456705-REG/kipon_50mm_f2_4_for_sony_e_50mm_f_2_4_lens_for.html/BI/19619/KBID/12129/DFF/d10-v21-t1-x945448/SID/EZ","link*")</f>
        <v>link*</v>
      </c>
      <c r="M27" s="113"/>
      <c r="N27" s="121"/>
      <c r="O27" s="84">
        <v>60</v>
      </c>
      <c r="P27" s="70" t="s">
        <v>27</v>
      </c>
      <c r="Q27" s="74">
        <v>6</v>
      </c>
      <c r="R27" s="112">
        <v>43622</v>
      </c>
      <c r="S27" s="74" t="s">
        <v>63</v>
      </c>
      <c r="T27" s="74"/>
    </row>
    <row r="28" spans="1:21" ht="13">
      <c r="A28" s="178" t="s">
        <v>102</v>
      </c>
      <c r="B28" s="22">
        <v>200</v>
      </c>
      <c r="C28" s="24">
        <v>50</v>
      </c>
      <c r="D28" s="26">
        <v>2.9</v>
      </c>
      <c r="G28" s="30" t="s">
        <v>25</v>
      </c>
      <c r="H28" s="32">
        <v>35.5</v>
      </c>
      <c r="I28" s="34">
        <v>0.25</v>
      </c>
      <c r="J28" s="36">
        <v>548</v>
      </c>
      <c r="K28" s="38"/>
      <c r="L28" s="41" t="str">
        <f>HYPERLINK("https://www.bhphotovideo.com/c/product/1297915-REG/meyer_optik_g_rlitz_mog2950se_2_9_50_trioplan_lens_for.html/BI/19619/KBID/12129/DFF/d10-v21-t1-x778661/SID/EZ","link*")</f>
        <v>link*</v>
      </c>
      <c r="M28" s="179"/>
      <c r="N28" s="38"/>
      <c r="O28" s="43">
        <v>25</v>
      </c>
      <c r="P28" s="45" t="s">
        <v>27</v>
      </c>
      <c r="Q28" s="34">
        <v>12</v>
      </c>
      <c r="R28" s="138">
        <v>43527</v>
      </c>
      <c r="S28" s="34" t="s">
        <v>76</v>
      </c>
      <c r="T28" s="34"/>
      <c r="U28" s="180"/>
    </row>
    <row r="29" spans="1:21" ht="13">
      <c r="A29" s="178" t="s">
        <v>105</v>
      </c>
      <c r="B29" s="87">
        <v>272</v>
      </c>
      <c r="C29" s="89">
        <v>55</v>
      </c>
      <c r="D29" s="90">
        <v>1.8</v>
      </c>
      <c r="E29" s="28">
        <v>60</v>
      </c>
      <c r="F29" s="28">
        <v>52</v>
      </c>
      <c r="G29" s="93" t="s">
        <v>25</v>
      </c>
      <c r="H29" s="94">
        <v>49</v>
      </c>
      <c r="I29" s="96"/>
      <c r="J29" s="98">
        <v>99</v>
      </c>
      <c r="K29" s="102" t="str">
        <f>HYPERLINK("https://amzn.to/2Uybk8g","link*")</f>
        <v>link*</v>
      </c>
      <c r="L29" s="99"/>
      <c r="M29" s="102" t="str">
        <f>HYPERLINK("https://amzn.to/2MYcusN","link*")</f>
        <v>link*</v>
      </c>
      <c r="N29" s="79" t="e">
        <f>HYPERLINK("http://rover.ebay.com/rover/1/711-53200-19255-0/1?icep_ff3=9&amp;pub=5575076376&amp;toolid=10001&amp;campid=5338573609&amp;customid=&amp;icep_uq=brightin+star+55mm+1.8+sony&amp;icep_sellerId=&amp;icep_ex_kw=&amp;icep_sortBy=12&amp;icep_catId=3323&amp;icep_minPrice=&amp;icep_maxPrice=&amp;ipn=psmain&amp;ice"&amp;"p_vectorid=229466&amp;kwid=902099&amp;mtid=824&amp;kw=lg","link*")</f>
        <v>#VALUE!</v>
      </c>
      <c r="O29" s="104">
        <v>50</v>
      </c>
      <c r="P29" s="105" t="s">
        <v>27</v>
      </c>
      <c r="Q29" s="96">
        <v>12</v>
      </c>
      <c r="R29" s="153">
        <v>43592</v>
      </c>
      <c r="S29" s="96" t="s">
        <v>107</v>
      </c>
      <c r="T29" s="48"/>
      <c r="U29" s="180"/>
    </row>
    <row r="30" spans="1:21" ht="13">
      <c r="A30" s="178" t="s">
        <v>108</v>
      </c>
      <c r="B30" s="87">
        <v>400</v>
      </c>
      <c r="C30" s="89">
        <v>56</v>
      </c>
      <c r="D30" s="90">
        <v>1.6</v>
      </c>
      <c r="E30" s="144">
        <v>72</v>
      </c>
      <c r="F30" s="148">
        <v>95</v>
      </c>
      <c r="G30" s="93" t="s">
        <v>25</v>
      </c>
      <c r="H30" s="94">
        <v>62</v>
      </c>
      <c r="I30" s="96">
        <v>0.5</v>
      </c>
      <c r="J30" s="98">
        <v>449</v>
      </c>
      <c r="K30" s="99"/>
      <c r="L30" s="102" t="str">
        <f>HYPERLINK("https://www.bhphotovideo.com/c/product/1152532-REG/lensbaby_lbv56bx_velvet_56mm_f_1_6_lens.html/BI/19619/KBID/12129/DFF/d10-v21-t1-x638949/SID/EZ","link*")</f>
        <v>link*</v>
      </c>
      <c r="M30" s="183"/>
      <c r="N30" s="99"/>
      <c r="O30" s="104">
        <v>12.7</v>
      </c>
      <c r="P30" s="105" t="s">
        <v>27</v>
      </c>
      <c r="Q30" s="96"/>
      <c r="R30" s="153">
        <v>43528</v>
      </c>
      <c r="S30" s="96" t="s">
        <v>93</v>
      </c>
      <c r="T30" s="180"/>
      <c r="U30" s="180"/>
    </row>
    <row r="31" spans="1:21" ht="13">
      <c r="A31" s="185" t="s">
        <v>109</v>
      </c>
      <c r="B31" s="87"/>
      <c r="C31" s="89">
        <v>58</v>
      </c>
      <c r="D31" s="90">
        <v>1.9</v>
      </c>
      <c r="E31" s="144"/>
      <c r="F31" s="144"/>
      <c r="G31" s="93" t="s">
        <v>25</v>
      </c>
      <c r="H31" s="94">
        <v>52</v>
      </c>
      <c r="I31" s="96"/>
      <c r="J31" s="98">
        <v>899</v>
      </c>
      <c r="K31" s="99"/>
      <c r="L31" s="102" t="str">
        <f>HYPERLINK("https://www.bhphotovideo.com/c/product/1486218-REG/meyer_optik_gorlitz_mog5819iise_primoplan_58_f1_9_ii.html/BI/19619/KBID/12129/DFF/d10-v21-t1-x969561/SID/EZ","link*")</f>
        <v>link*</v>
      </c>
      <c r="M31" s="183"/>
      <c r="N31" s="99"/>
      <c r="O31" s="104">
        <v>60</v>
      </c>
      <c r="P31" s="105" t="s">
        <v>110</v>
      </c>
      <c r="Q31" s="96">
        <v>12</v>
      </c>
      <c r="R31" s="153">
        <v>43560</v>
      </c>
      <c r="S31" s="96" t="s">
        <v>76</v>
      </c>
      <c r="T31" s="186" t="s">
        <v>111</v>
      </c>
      <c r="U31" s="180"/>
    </row>
    <row r="32" spans="1:21" ht="13">
      <c r="A32" s="127" t="s">
        <v>112</v>
      </c>
      <c r="B32" s="87">
        <v>330</v>
      </c>
      <c r="C32" s="89">
        <v>75</v>
      </c>
      <c r="D32" s="90">
        <v>2.4</v>
      </c>
      <c r="E32" s="144">
        <v>58</v>
      </c>
      <c r="F32" s="144">
        <v>75</v>
      </c>
      <c r="G32" s="93" t="s">
        <v>25</v>
      </c>
      <c r="H32" s="94">
        <v>49</v>
      </c>
      <c r="I32" s="96"/>
      <c r="J32" s="98">
        <v>299</v>
      </c>
      <c r="K32" s="99"/>
      <c r="L32" s="102" t="str">
        <f>HYPERLINK("https://www.bhphotovideo.com/c/product/1456711-REG/kipon_75mm_f2_4_for_sony_e_75mm_f_2_4_lens_for.html/BI/19619/KBID/12129/DFF/d10-v21-t1-x945453/SID/EZ","link*")</f>
        <v>link*</v>
      </c>
      <c r="M32" s="99"/>
      <c r="N32" s="99"/>
      <c r="O32" s="104">
        <v>60</v>
      </c>
      <c r="P32" s="105" t="s">
        <v>27</v>
      </c>
      <c r="Q32" s="96">
        <v>6</v>
      </c>
      <c r="R32" s="153">
        <v>43590</v>
      </c>
      <c r="S32" s="96" t="s">
        <v>57</v>
      </c>
      <c r="T32" s="155"/>
      <c r="U32" s="180"/>
    </row>
    <row r="33" spans="1:21" ht="13">
      <c r="A33" s="171" t="s">
        <v>113</v>
      </c>
      <c r="B33" s="50">
        <v>921</v>
      </c>
      <c r="C33" s="51">
        <v>85</v>
      </c>
      <c r="D33" s="52">
        <v>1.2</v>
      </c>
      <c r="E33" s="78"/>
      <c r="F33" s="78"/>
      <c r="G33" s="55" t="s">
        <v>25</v>
      </c>
      <c r="H33" s="57">
        <v>77</v>
      </c>
      <c r="I33" s="59"/>
      <c r="J33" s="61">
        <v>749</v>
      </c>
      <c r="K33" s="63"/>
      <c r="L33" s="69" t="str">
        <f>HYPERLINK("https://www.bhphotovideo.com/c/product/1148608-REG/mitakon_zhongyi_mtk85mf12se_mitakon_speedmaster_85mm_f_1_2.html/BI/19619/KBID/12129/DFF/d10-v21-t1-x635054/SID/EZ","link*")</f>
        <v>link*</v>
      </c>
      <c r="M33" s="189"/>
      <c r="N33" s="63"/>
      <c r="O33" s="71">
        <v>100</v>
      </c>
      <c r="P33" s="73" t="s">
        <v>27</v>
      </c>
      <c r="Q33" s="59">
        <v>11</v>
      </c>
      <c r="R33" s="110">
        <v>43625</v>
      </c>
      <c r="S33" s="59" t="s">
        <v>57</v>
      </c>
      <c r="T33" s="59"/>
    </row>
    <row r="34" spans="1:21" ht="13">
      <c r="A34" s="117" t="s">
        <v>114</v>
      </c>
      <c r="B34" s="60">
        <v>570</v>
      </c>
      <c r="C34" s="67">
        <v>85</v>
      </c>
      <c r="D34" s="64">
        <v>1.4</v>
      </c>
      <c r="E34" s="65">
        <v>78</v>
      </c>
      <c r="F34" s="65">
        <v>101</v>
      </c>
      <c r="G34" s="119" t="s">
        <v>25</v>
      </c>
      <c r="H34" s="72">
        <v>72</v>
      </c>
      <c r="I34" s="74"/>
      <c r="J34" s="76">
        <v>279</v>
      </c>
      <c r="K34" s="121"/>
      <c r="L34" s="79" t="str">
        <f>HYPERLINK("https://www.bhphotovideo.com/c/product/1024119-REG/samyang_sy85m_e_85mm_f_1_4_lens_for.html/BI/19619/KBID/12129/DFF/d10-v21-t1-x500622/SID/EZ","link*")</f>
        <v>link*</v>
      </c>
      <c r="M34" s="121"/>
      <c r="N34" s="121"/>
      <c r="O34" s="84">
        <v>100</v>
      </c>
      <c r="P34" s="70" t="s">
        <v>27</v>
      </c>
      <c r="Q34" s="74">
        <v>8</v>
      </c>
      <c r="R34" s="112">
        <v>43655</v>
      </c>
      <c r="S34" s="74" t="s">
        <v>38</v>
      </c>
      <c r="T34" s="125"/>
    </row>
    <row r="35" spans="1:21" ht="13">
      <c r="A35" s="117" t="s">
        <v>115</v>
      </c>
      <c r="B35" s="60">
        <v>644</v>
      </c>
      <c r="C35" s="67">
        <v>85</v>
      </c>
      <c r="D35" s="64">
        <v>1.8</v>
      </c>
      <c r="E35" s="65">
        <v>76</v>
      </c>
      <c r="F35" s="65">
        <v>128</v>
      </c>
      <c r="G35" s="119" t="s">
        <v>25</v>
      </c>
      <c r="H35" s="72">
        <v>67</v>
      </c>
      <c r="I35" s="74">
        <v>0.5</v>
      </c>
      <c r="J35" s="76">
        <v>499</v>
      </c>
      <c r="K35" s="121"/>
      <c r="L35" s="79" t="str">
        <f>HYPERLINK("https://www.bhphotovideo.com/c/product/1338157-REG/lensbaby_lbv85x_velvet_85_for_sony.html/BI/19619/KBID/12129/DFF/d10-v21-t1-x830878/SID/EZ","link*")</f>
        <v>link*</v>
      </c>
      <c r="M35" s="121"/>
      <c r="N35" s="121"/>
      <c r="O35" s="84">
        <v>24</v>
      </c>
      <c r="P35" s="70" t="s">
        <v>27</v>
      </c>
      <c r="Q35" s="74">
        <v>12</v>
      </c>
      <c r="R35" s="112">
        <v>43528</v>
      </c>
      <c r="S35" s="74" t="s">
        <v>93</v>
      </c>
      <c r="T35" s="125"/>
    </row>
    <row r="36" spans="1:21" ht="13">
      <c r="A36" s="127" t="s">
        <v>116</v>
      </c>
      <c r="B36" s="22">
        <v>500</v>
      </c>
      <c r="C36" s="24">
        <v>85</v>
      </c>
      <c r="D36" s="26">
        <v>2.8</v>
      </c>
      <c r="E36" s="28">
        <v>64</v>
      </c>
      <c r="F36" s="28">
        <v>117</v>
      </c>
      <c r="G36" s="30" t="s">
        <v>25</v>
      </c>
      <c r="H36" s="32">
        <v>55</v>
      </c>
      <c r="I36" s="34">
        <v>1.5</v>
      </c>
      <c r="J36" s="36">
        <v>269</v>
      </c>
      <c r="K36" s="38"/>
      <c r="L36" s="41" t="str">
        <f>HYPERLINK("https://www.bhphotovideo.com/c/product/1451858-REG/meike_mk85f2_8e_85mm_f2_8_manual_macro.html/BI/19619/KBID/12129/DFF/d10-v21-t1-x936762/SID/EZ","link*")</f>
        <v>link*</v>
      </c>
      <c r="M36" s="38"/>
      <c r="N36" s="38"/>
      <c r="O36" s="43">
        <v>25</v>
      </c>
      <c r="P36" s="45" t="s">
        <v>27</v>
      </c>
      <c r="Q36" s="34">
        <v>12</v>
      </c>
      <c r="R36" s="138">
        <v>43688</v>
      </c>
      <c r="S36" s="34" t="s">
        <v>99</v>
      </c>
      <c r="T36" s="140"/>
      <c r="U36" s="180"/>
    </row>
    <row r="37" spans="1:21" ht="13">
      <c r="A37" s="127" t="s">
        <v>117</v>
      </c>
      <c r="B37" s="87">
        <v>340</v>
      </c>
      <c r="C37" s="89">
        <v>90</v>
      </c>
      <c r="D37" s="90">
        <v>2.4</v>
      </c>
      <c r="E37" s="144">
        <v>58</v>
      </c>
      <c r="F37" s="144">
        <v>79</v>
      </c>
      <c r="G37" s="93" t="s">
        <v>25</v>
      </c>
      <c r="H37" s="94">
        <v>49</v>
      </c>
      <c r="I37" s="96"/>
      <c r="J37" s="98">
        <v>386</v>
      </c>
      <c r="K37" s="99"/>
      <c r="L37" s="102" t="str">
        <f>HYPERLINK("https://www.bhphotovideo.com/c/product/1456717-REG/kipon_90mm_f2_4_for_sony_e_90mm_f_2_4_lens_for.html/BI/19619/KBID/12129/DFF/d10-v21-t1-x945458/SID/EZ","link*")</f>
        <v>link*</v>
      </c>
      <c r="M37" s="99"/>
      <c r="N37" s="99"/>
      <c r="O37" s="104">
        <v>70</v>
      </c>
      <c r="P37" s="105" t="s">
        <v>27</v>
      </c>
      <c r="Q37" s="96">
        <v>10</v>
      </c>
      <c r="R37" s="153">
        <v>43559</v>
      </c>
      <c r="S37" s="96" t="s">
        <v>63</v>
      </c>
      <c r="T37" s="155"/>
      <c r="U37" s="180"/>
    </row>
    <row r="38" spans="1:21" ht="13">
      <c r="A38" s="117" t="s">
        <v>118</v>
      </c>
      <c r="B38" s="50"/>
      <c r="C38" s="51">
        <v>100</v>
      </c>
      <c r="D38" s="52">
        <v>2.8</v>
      </c>
      <c r="E38" s="78"/>
      <c r="F38" s="78"/>
      <c r="G38" s="55" t="s">
        <v>25</v>
      </c>
      <c r="H38" s="57">
        <v>52</v>
      </c>
      <c r="I38" s="59"/>
      <c r="J38" s="61">
        <v>648</v>
      </c>
      <c r="K38" s="63"/>
      <c r="L38" s="69" t="str">
        <f>HYPERLINK("https://www.bhphotovideo.com/c/product/1297908-REG/meyer_optik_g_rlitz_mog28100se_2_8_100_trioplan_lens_for.html/BI/19619/KBID/12129/DFF/d10-v21-t1-x778654/SID/EZ","link*")</f>
        <v>link*</v>
      </c>
      <c r="M38" s="63"/>
      <c r="N38" s="63"/>
      <c r="O38" s="71">
        <v>100</v>
      </c>
      <c r="P38" s="73" t="s">
        <v>27</v>
      </c>
      <c r="Q38" s="59">
        <v>15</v>
      </c>
      <c r="R38" s="110">
        <v>43527</v>
      </c>
      <c r="S38" s="59" t="s">
        <v>76</v>
      </c>
      <c r="T38" s="167"/>
    </row>
    <row r="39" spans="1:21" ht="13">
      <c r="A39" s="196" t="str">
        <f>HYPERLINK("https://phillipreeve.net/blog/laowa-100mm-f2-8-ca-dreamer-macro-2x-a-review/","Venus Optics Laowa 100mm f/2.8 Ultra Macro APO")</f>
        <v>Venus Optics Laowa 100mm f/2.8 Ultra Macro APO</v>
      </c>
      <c r="B39" s="60">
        <v>657</v>
      </c>
      <c r="C39" s="67">
        <v>100</v>
      </c>
      <c r="D39" s="64">
        <v>2.8</v>
      </c>
      <c r="E39" s="65">
        <v>72</v>
      </c>
      <c r="F39" s="65">
        <v>155</v>
      </c>
      <c r="G39" s="119" t="s">
        <v>25</v>
      </c>
      <c r="H39" s="72">
        <v>67</v>
      </c>
      <c r="I39" s="74">
        <v>2</v>
      </c>
      <c r="J39" s="76">
        <v>449</v>
      </c>
      <c r="K39" s="121"/>
      <c r="L39" s="79" t="str">
        <f>HYPERLINK("https://www.bhphotovideo.com/c/product/1478041-REG/venus_optics_ve10028sfe_laowa_100mm_f_2_8_2x.html/BI/19619/KBID/12129/DFF/d10-v21-t1-x962119/SID/EZ","link*")</f>
        <v>link*</v>
      </c>
      <c r="M39" s="121"/>
      <c r="N39" s="121"/>
      <c r="O39" s="84">
        <v>25</v>
      </c>
      <c r="P39" s="70" t="s">
        <v>27</v>
      </c>
      <c r="Q39" s="74">
        <v>13</v>
      </c>
      <c r="R39" s="112">
        <v>43750</v>
      </c>
      <c r="S39" s="74" t="s">
        <v>31</v>
      </c>
      <c r="T39" s="125"/>
    </row>
    <row r="40" spans="1:21" ht="13">
      <c r="A40" s="197" t="s">
        <v>119</v>
      </c>
      <c r="B40" s="22">
        <v>730</v>
      </c>
      <c r="C40" s="24">
        <v>100</v>
      </c>
      <c r="D40" s="26">
        <v>2.8</v>
      </c>
      <c r="E40" s="28">
        <v>72.5</v>
      </c>
      <c r="F40" s="28">
        <v>149</v>
      </c>
      <c r="G40" s="30" t="s">
        <v>25</v>
      </c>
      <c r="H40" s="32">
        <v>67</v>
      </c>
      <c r="I40" s="34">
        <v>1</v>
      </c>
      <c r="J40" s="36">
        <v>549</v>
      </c>
      <c r="K40" s="38"/>
      <c r="L40" s="41" t="str">
        <f>HYPERLINK("https://www.bhphotovideo.com/c/product/1140597-REG/samyang_sy100m_e_100mm_f_2_8_ed_umc.html/BI/19619/KBID/12129/DFF/d10-v21-t1-x627223/SID/EZ","link*")</f>
        <v>link*</v>
      </c>
      <c r="M40" s="38"/>
      <c r="N40" s="38"/>
      <c r="O40" s="43">
        <v>30.7</v>
      </c>
      <c r="P40" s="45" t="s">
        <v>27</v>
      </c>
      <c r="Q40" s="34">
        <v>9</v>
      </c>
      <c r="R40" s="46" t="s">
        <v>122</v>
      </c>
      <c r="S40" s="34" t="s">
        <v>38</v>
      </c>
      <c r="T40" s="34"/>
      <c r="U40" s="180"/>
    </row>
    <row r="41" spans="1:21" ht="13">
      <c r="A41" s="85" t="str">
        <f>HYPERLINK("https://phillipreeve.net/blog/review-laowa-stf-105mm-f2-0-t3-2/","Venus Optics Laowa 105mm f/2 STF")</f>
        <v>Venus Optics Laowa 105mm f/2 STF</v>
      </c>
      <c r="B41" s="87">
        <v>745</v>
      </c>
      <c r="C41" s="89">
        <v>105</v>
      </c>
      <c r="D41" s="90">
        <v>2</v>
      </c>
      <c r="E41" s="202">
        <v>76</v>
      </c>
      <c r="F41" s="204">
        <v>99</v>
      </c>
      <c r="G41" s="205" t="s">
        <v>25</v>
      </c>
      <c r="H41" s="94">
        <v>67</v>
      </c>
      <c r="I41" s="96">
        <v>0.16</v>
      </c>
      <c r="J41" s="98">
        <v>699</v>
      </c>
      <c r="K41" s="99"/>
      <c r="L41" s="102" t="str">
        <f>HYPERLINK("https://www.bhphotovideo.com/c/product/1240051-REG/venus_optics_ve10520sfe_laowa_105mm_f_2_smooth.html/BI/19619/KBID/12129/DFF/d10-v21-t1-x721877/SID/EZ","link*")</f>
        <v>link*</v>
      </c>
      <c r="M41" s="99"/>
      <c r="N41" s="99"/>
      <c r="O41" s="104">
        <v>90</v>
      </c>
      <c r="P41" s="105" t="s">
        <v>27</v>
      </c>
      <c r="Q41" s="96">
        <v>8</v>
      </c>
      <c r="R41" s="107" t="s">
        <v>125</v>
      </c>
      <c r="S41" s="96" t="s">
        <v>31</v>
      </c>
      <c r="T41" s="96"/>
      <c r="U41" s="48" t="s">
        <v>126</v>
      </c>
    </row>
    <row r="42" spans="1:21" ht="13">
      <c r="A42" s="85" t="str">
        <f>HYPERLINK("https://phillipreeve.net/blog/review-samyang/","Samyang 135mm f/2.0 ED UMC")</f>
        <v>Samyang 135mm f/2.0 ED UMC</v>
      </c>
      <c r="B42" s="87">
        <v>840</v>
      </c>
      <c r="C42" s="89">
        <v>135</v>
      </c>
      <c r="D42" s="90">
        <v>2</v>
      </c>
      <c r="E42" s="144">
        <v>82</v>
      </c>
      <c r="F42" s="144">
        <v>148</v>
      </c>
      <c r="G42" s="93" t="s">
        <v>25</v>
      </c>
      <c r="H42" s="94">
        <v>77</v>
      </c>
      <c r="I42" s="96"/>
      <c r="J42" s="98">
        <v>549</v>
      </c>
      <c r="K42" s="99"/>
      <c r="L42" s="102" t="str">
        <f>HYPERLINK("https://www.bhphotovideo.com/c/product/1110690-REG/samyang_sy135m_e_135mm_f_2_lens_for.html/BI/19619/KBID/12129/DFF/d10-v21-t1-x594188/SID/EZ","link*")</f>
        <v>link*</v>
      </c>
      <c r="M42" s="99"/>
      <c r="N42" s="99"/>
      <c r="O42" s="104">
        <v>90</v>
      </c>
      <c r="P42" s="105" t="s">
        <v>27</v>
      </c>
      <c r="Q42" s="96">
        <v>9</v>
      </c>
      <c r="R42" s="107" t="s">
        <v>128</v>
      </c>
      <c r="S42" s="96" t="s">
        <v>38</v>
      </c>
      <c r="T42" s="96"/>
      <c r="U42" s="180"/>
    </row>
    <row r="43" spans="1:21" ht="13" hidden="1">
      <c r="A43" s="207"/>
      <c r="B43" s="208"/>
      <c r="C43" s="209"/>
      <c r="D43" s="210"/>
      <c r="E43" s="194"/>
      <c r="F43" s="211"/>
      <c r="G43" s="77"/>
      <c r="H43" s="212"/>
      <c r="I43" s="77"/>
      <c r="J43" s="213"/>
      <c r="K43" s="214"/>
      <c r="L43" s="214"/>
      <c r="M43" s="214"/>
      <c r="N43" s="214"/>
      <c r="O43" s="215"/>
      <c r="P43" s="77"/>
      <c r="Q43" s="77"/>
      <c r="R43" s="77"/>
      <c r="S43" s="77"/>
      <c r="T43" s="77"/>
    </row>
    <row r="44" spans="1:21" ht="13" hidden="1">
      <c r="A44" s="207"/>
      <c r="B44" s="208"/>
      <c r="C44" s="209"/>
      <c r="D44" s="210"/>
      <c r="E44" s="194"/>
      <c r="F44" s="211"/>
      <c r="G44" s="77"/>
      <c r="H44" s="212"/>
      <c r="I44" s="77"/>
      <c r="J44" s="213"/>
      <c r="K44" s="214"/>
      <c r="L44" s="214"/>
      <c r="M44" s="214"/>
      <c r="N44" s="214"/>
      <c r="O44" s="215"/>
      <c r="P44" s="77"/>
      <c r="Q44" s="77"/>
      <c r="R44" s="77"/>
      <c r="S44" s="77"/>
      <c r="T44" s="77"/>
    </row>
    <row r="45" spans="1:21" ht="13" hidden="1">
      <c r="A45" s="207"/>
      <c r="B45" s="208"/>
      <c r="C45" s="209"/>
      <c r="D45" s="210"/>
      <c r="E45" s="194"/>
      <c r="F45" s="211"/>
      <c r="G45" s="77"/>
      <c r="H45" s="212"/>
      <c r="I45" s="77"/>
      <c r="J45" s="213"/>
      <c r="K45" s="214"/>
      <c r="L45" s="214"/>
      <c r="M45" s="214"/>
      <c r="N45" s="214"/>
      <c r="O45" s="215"/>
      <c r="P45" s="77"/>
      <c r="Q45" s="77"/>
      <c r="R45" s="77"/>
      <c r="S45" s="77"/>
      <c r="T45" s="77"/>
    </row>
    <row r="46" spans="1:21" ht="13" hidden="1">
      <c r="A46" s="207"/>
      <c r="B46" s="208"/>
      <c r="C46" s="209"/>
      <c r="D46" s="210"/>
      <c r="E46" s="194"/>
      <c r="F46" s="211"/>
      <c r="G46" s="77"/>
      <c r="H46" s="212"/>
      <c r="I46" s="77"/>
      <c r="J46" s="213"/>
      <c r="K46" s="214"/>
      <c r="L46" s="214"/>
      <c r="M46" s="214"/>
      <c r="N46" s="214"/>
      <c r="O46" s="215"/>
      <c r="P46" s="77"/>
      <c r="Q46" s="77"/>
      <c r="R46" s="77"/>
      <c r="S46" s="77"/>
      <c r="T46" s="77"/>
    </row>
    <row r="47" spans="1:21" ht="13" hidden="1">
      <c r="A47" s="207"/>
      <c r="B47" s="208"/>
      <c r="C47" s="209"/>
      <c r="D47" s="210"/>
      <c r="E47" s="194"/>
      <c r="F47" s="216"/>
      <c r="G47" s="77"/>
      <c r="H47" s="212"/>
      <c r="I47" s="77"/>
      <c r="J47" s="213"/>
      <c r="K47" s="214"/>
      <c r="L47" s="214"/>
      <c r="M47" s="214"/>
      <c r="N47" s="214"/>
      <c r="O47" s="215"/>
      <c r="P47" s="77"/>
      <c r="Q47" s="77"/>
      <c r="R47" s="77"/>
      <c r="S47" s="77"/>
      <c r="T47" s="77"/>
    </row>
    <row r="48" spans="1:21" ht="13" hidden="1">
      <c r="A48" s="207"/>
      <c r="B48" s="208"/>
      <c r="C48" s="209"/>
      <c r="D48" s="210"/>
      <c r="E48" s="194"/>
      <c r="F48" s="211"/>
      <c r="G48" s="77"/>
      <c r="H48" s="212"/>
      <c r="I48" s="77"/>
      <c r="J48" s="213"/>
      <c r="K48" s="214"/>
      <c r="L48" s="214"/>
      <c r="M48" s="214"/>
      <c r="N48" s="214"/>
      <c r="O48" s="215"/>
      <c r="P48" s="77"/>
      <c r="Q48" s="77"/>
      <c r="R48" s="77"/>
      <c r="S48" s="77"/>
      <c r="T48" s="77"/>
    </row>
    <row r="49" spans="1:20" ht="13" hidden="1">
      <c r="A49" s="207"/>
      <c r="B49" s="208"/>
      <c r="C49" s="209"/>
      <c r="D49" s="210"/>
      <c r="E49" s="194"/>
      <c r="F49" s="211"/>
      <c r="G49" s="77"/>
      <c r="H49" s="212"/>
      <c r="I49" s="77"/>
      <c r="J49" s="213"/>
      <c r="K49" s="214"/>
      <c r="L49" s="214"/>
      <c r="M49" s="214"/>
      <c r="N49" s="214"/>
      <c r="O49" s="215"/>
      <c r="P49" s="77"/>
      <c r="Q49" s="77"/>
      <c r="R49" s="77"/>
      <c r="S49" s="77"/>
      <c r="T49" s="77"/>
    </row>
    <row r="50" spans="1:20" ht="13" hidden="1">
      <c r="A50" s="207"/>
      <c r="B50" s="208"/>
      <c r="C50" s="209"/>
      <c r="D50" s="210"/>
      <c r="E50" s="194"/>
      <c r="F50" s="211"/>
      <c r="G50" s="77"/>
      <c r="H50" s="212"/>
      <c r="I50" s="77"/>
      <c r="J50" s="213"/>
      <c r="K50" s="214"/>
      <c r="L50" s="214"/>
      <c r="M50" s="214"/>
      <c r="N50" s="214"/>
      <c r="O50" s="215"/>
      <c r="P50" s="77"/>
      <c r="Q50" s="77"/>
      <c r="R50" s="77"/>
      <c r="S50" s="77"/>
      <c r="T50" s="77"/>
    </row>
    <row r="51" spans="1:20" ht="13" hidden="1">
      <c r="A51" s="207"/>
      <c r="B51" s="208"/>
      <c r="C51" s="209"/>
      <c r="D51" s="210"/>
      <c r="E51" s="194"/>
      <c r="F51" s="211"/>
      <c r="G51" s="77"/>
      <c r="H51" s="212"/>
      <c r="I51" s="77"/>
      <c r="J51" s="213"/>
      <c r="K51" s="214"/>
      <c r="L51" s="214"/>
      <c r="M51" s="214"/>
      <c r="N51" s="214"/>
      <c r="O51" s="215"/>
      <c r="P51" s="77"/>
      <c r="Q51" s="77"/>
      <c r="R51" s="77"/>
      <c r="S51" s="77"/>
      <c r="T51" s="77"/>
    </row>
    <row r="52" spans="1:20" ht="13" hidden="1">
      <c r="A52" s="207"/>
      <c r="B52" s="208"/>
      <c r="C52" s="209"/>
      <c r="D52" s="210"/>
      <c r="E52" s="194"/>
      <c r="F52" s="211"/>
      <c r="G52" s="77"/>
      <c r="H52" s="212"/>
      <c r="I52" s="77"/>
      <c r="J52" s="213"/>
      <c r="K52" s="214"/>
      <c r="L52" s="214"/>
      <c r="M52" s="214"/>
      <c r="N52" s="214"/>
      <c r="O52" s="215"/>
      <c r="P52" s="77"/>
      <c r="Q52" s="77"/>
      <c r="R52" s="77"/>
      <c r="S52" s="77"/>
      <c r="T52" s="77"/>
    </row>
    <row r="53" spans="1:20" ht="13" hidden="1">
      <c r="A53" s="207"/>
      <c r="B53" s="208"/>
      <c r="C53" s="209"/>
      <c r="D53" s="210"/>
      <c r="E53" s="194"/>
      <c r="F53" s="216"/>
      <c r="G53" s="77"/>
      <c r="H53" s="212"/>
      <c r="I53" s="77"/>
      <c r="J53" s="213"/>
      <c r="K53" s="214"/>
      <c r="L53" s="214"/>
      <c r="M53" s="214"/>
      <c r="N53" s="214"/>
      <c r="O53" s="215"/>
      <c r="P53" s="77"/>
      <c r="Q53" s="77"/>
      <c r="R53" s="77"/>
      <c r="S53" s="77"/>
      <c r="T53" s="77"/>
    </row>
    <row r="54" spans="1:20" ht="13" hidden="1">
      <c r="A54" s="207"/>
      <c r="B54" s="208"/>
      <c r="C54" s="209"/>
      <c r="D54" s="210"/>
      <c r="E54" s="194"/>
      <c r="F54" s="211"/>
      <c r="G54" s="77"/>
      <c r="H54" s="212"/>
      <c r="I54" s="77"/>
      <c r="J54" s="213"/>
      <c r="K54" s="214"/>
      <c r="L54" s="214"/>
      <c r="M54" s="214"/>
      <c r="N54" s="214"/>
      <c r="O54" s="215"/>
      <c r="P54" s="77"/>
      <c r="Q54" s="77"/>
      <c r="R54" s="77"/>
      <c r="S54" s="77"/>
      <c r="T54" s="77"/>
    </row>
    <row r="55" spans="1:20" ht="13" hidden="1">
      <c r="A55" s="207"/>
      <c r="B55" s="208"/>
      <c r="C55" s="209"/>
      <c r="D55" s="210"/>
      <c r="E55" s="217"/>
      <c r="F55" s="218"/>
      <c r="G55" s="77"/>
      <c r="H55" s="212"/>
      <c r="I55" s="77"/>
      <c r="J55" s="213"/>
      <c r="K55" s="214"/>
      <c r="L55" s="214"/>
      <c r="M55" s="214"/>
      <c r="N55" s="214"/>
      <c r="O55" s="215"/>
      <c r="P55" s="77"/>
      <c r="Q55" s="77"/>
      <c r="R55" s="77"/>
      <c r="S55" s="77"/>
      <c r="T55" s="77"/>
    </row>
    <row r="56" spans="1:20" ht="13" hidden="1">
      <c r="A56" s="207"/>
      <c r="B56" s="208"/>
      <c r="C56" s="209"/>
      <c r="D56" s="210"/>
      <c r="E56" s="219"/>
      <c r="F56" s="220"/>
      <c r="G56" s="77"/>
      <c r="H56" s="212"/>
      <c r="I56" s="77"/>
      <c r="J56" s="213"/>
      <c r="K56" s="214"/>
      <c r="L56" s="214"/>
      <c r="M56" s="214"/>
      <c r="N56" s="214"/>
      <c r="O56" s="215"/>
      <c r="P56" s="77"/>
      <c r="Q56" s="77"/>
      <c r="R56" s="77"/>
      <c r="S56" s="77"/>
      <c r="T56" s="77"/>
    </row>
    <row r="57" spans="1:20" ht="13" hidden="1">
      <c r="A57" s="207"/>
      <c r="B57" s="208"/>
      <c r="C57" s="209"/>
      <c r="D57" s="210"/>
      <c r="E57" s="219"/>
      <c r="F57" s="220"/>
      <c r="G57" s="77"/>
      <c r="H57" s="212"/>
      <c r="I57" s="77"/>
      <c r="J57" s="213"/>
      <c r="K57" s="214"/>
      <c r="L57" s="214"/>
      <c r="M57" s="214"/>
      <c r="N57" s="214"/>
      <c r="O57" s="215"/>
      <c r="P57" s="77"/>
      <c r="Q57" s="77"/>
      <c r="R57" s="77"/>
      <c r="S57" s="77"/>
      <c r="T57" s="77"/>
    </row>
    <row r="58" spans="1:20" ht="13" hidden="1">
      <c r="A58" s="207"/>
      <c r="B58" s="208"/>
      <c r="C58" s="209"/>
      <c r="D58" s="210"/>
      <c r="E58" s="219"/>
      <c r="F58" s="220"/>
      <c r="G58" s="77"/>
      <c r="H58" s="212"/>
      <c r="I58" s="77"/>
      <c r="J58" s="213"/>
      <c r="K58" s="214"/>
      <c r="L58" s="214"/>
      <c r="M58" s="214"/>
      <c r="N58" s="214"/>
      <c r="O58" s="215"/>
      <c r="P58" s="77"/>
      <c r="Q58" s="77"/>
      <c r="R58" s="77"/>
      <c r="S58" s="77"/>
      <c r="T58" s="77"/>
    </row>
    <row r="59" spans="1:20" ht="13" hidden="1">
      <c r="A59" s="207"/>
      <c r="B59" s="208"/>
      <c r="C59" s="209"/>
      <c r="D59" s="210"/>
      <c r="E59" s="219"/>
      <c r="F59" s="220"/>
      <c r="G59" s="77"/>
      <c r="H59" s="212"/>
      <c r="I59" s="77"/>
      <c r="J59" s="213"/>
      <c r="K59" s="214"/>
      <c r="L59" s="214"/>
      <c r="M59" s="214"/>
      <c r="N59" s="214"/>
      <c r="O59" s="215"/>
      <c r="P59" s="77"/>
      <c r="Q59" s="77"/>
      <c r="R59" s="77"/>
      <c r="S59" s="77"/>
      <c r="T59" s="77"/>
    </row>
    <row r="60" spans="1:20" ht="13" hidden="1">
      <c r="A60" s="207"/>
      <c r="B60" s="208"/>
      <c r="C60" s="209"/>
      <c r="D60" s="210"/>
      <c r="E60" s="219"/>
      <c r="F60" s="220"/>
      <c r="G60" s="77"/>
      <c r="H60" s="212"/>
      <c r="I60" s="77"/>
      <c r="J60" s="213"/>
      <c r="K60" s="214"/>
      <c r="L60" s="214"/>
      <c r="M60" s="214"/>
      <c r="N60" s="214"/>
      <c r="O60" s="215"/>
      <c r="P60" s="77"/>
      <c r="Q60" s="77"/>
      <c r="R60" s="77"/>
      <c r="S60" s="77"/>
      <c r="T60" s="77"/>
    </row>
    <row r="61" spans="1:20" ht="13" hidden="1">
      <c r="A61" s="207"/>
      <c r="B61" s="208"/>
      <c r="C61" s="209"/>
      <c r="D61" s="210"/>
      <c r="E61" s="219"/>
      <c r="F61" s="220"/>
      <c r="G61" s="77"/>
      <c r="H61" s="212"/>
      <c r="I61" s="77"/>
      <c r="J61" s="213"/>
      <c r="K61" s="214"/>
      <c r="L61" s="214"/>
      <c r="M61" s="214"/>
      <c r="N61" s="214"/>
      <c r="O61" s="215"/>
      <c r="P61" s="77"/>
      <c r="Q61" s="77"/>
      <c r="R61" s="77"/>
      <c r="S61" s="77"/>
      <c r="T61" s="77"/>
    </row>
    <row r="62" spans="1:20" ht="13">
      <c r="A62" s="207"/>
      <c r="B62" s="208"/>
      <c r="C62" s="209"/>
      <c r="D62" s="210"/>
      <c r="E62" s="219"/>
      <c r="F62" s="220"/>
      <c r="G62" s="77"/>
      <c r="H62" s="212"/>
      <c r="I62" s="77"/>
      <c r="J62" s="213"/>
      <c r="K62" s="214"/>
      <c r="L62" s="214"/>
      <c r="M62" s="214"/>
      <c r="N62" s="214"/>
      <c r="O62" s="215"/>
      <c r="P62" s="77"/>
      <c r="Q62" s="77"/>
      <c r="R62" s="77"/>
      <c r="S62" s="77"/>
      <c r="T62" s="77"/>
    </row>
    <row r="63" spans="1:20" ht="15">
      <c r="A63" s="223" t="s">
        <v>136</v>
      </c>
      <c r="B63" s="224">
        <f>COUNT(C2:C61)</f>
        <v>40</v>
      </c>
      <c r="C63" s="77" t="s">
        <v>137</v>
      </c>
      <c r="D63" s="77"/>
      <c r="E63" s="219"/>
      <c r="F63" s="220"/>
      <c r="G63" s="77"/>
      <c r="H63" s="212"/>
      <c r="I63" s="77"/>
      <c r="J63" s="77"/>
      <c r="K63" s="214"/>
      <c r="L63" s="214"/>
      <c r="M63" s="214"/>
      <c r="N63" s="214"/>
      <c r="O63" s="77"/>
      <c r="P63" s="77"/>
      <c r="Q63" s="77"/>
      <c r="R63" s="77"/>
      <c r="S63" s="77"/>
      <c r="T63" s="77"/>
    </row>
    <row r="64" spans="1:20" ht="13">
      <c r="A64" s="225" t="s">
        <v>138</v>
      </c>
      <c r="E64" s="219"/>
      <c r="F64" s="220"/>
      <c r="H64" s="226"/>
      <c r="K64" s="214"/>
      <c r="L64" s="214"/>
      <c r="M64" s="214"/>
      <c r="N64" s="214"/>
    </row>
    <row r="65" spans="1:20" ht="13">
      <c r="A65" s="207"/>
      <c r="B65" s="77"/>
      <c r="C65" s="77"/>
      <c r="D65" s="77"/>
      <c r="E65" s="219"/>
      <c r="F65" s="220"/>
      <c r="G65" s="77"/>
      <c r="H65" s="212"/>
      <c r="I65" s="77"/>
      <c r="J65" s="77"/>
      <c r="K65" s="214"/>
      <c r="L65" s="214"/>
      <c r="M65" s="214"/>
      <c r="N65" s="214"/>
      <c r="O65" s="77"/>
      <c r="P65" s="77"/>
      <c r="Q65" s="77"/>
      <c r="R65" s="77"/>
      <c r="S65" s="77"/>
      <c r="T65" s="77"/>
    </row>
    <row r="66" spans="1:20" ht="13">
      <c r="A66" s="227" t="str">
        <f>HYPERLINK("https://phillipreeve.net/blog/sony-fe-lenses/fe-list/","If you have a question or want to report any mistake please leave a comment on the blog.")</f>
        <v>If you have a question or want to report any mistake please leave a comment on the blog.</v>
      </c>
      <c r="B66" s="228"/>
      <c r="C66" s="228"/>
      <c r="D66" s="228"/>
      <c r="E66" s="229"/>
      <c r="F66" s="230"/>
      <c r="G66" s="228"/>
      <c r="H66" s="231"/>
      <c r="I66" s="228"/>
      <c r="J66" s="228"/>
      <c r="K66" s="214"/>
      <c r="L66" s="214"/>
      <c r="M66" s="214"/>
      <c r="N66" s="214"/>
    </row>
    <row r="67" spans="1:20" ht="13">
      <c r="E67" s="219"/>
      <c r="F67" s="220"/>
      <c r="H67" s="226"/>
      <c r="K67" s="214"/>
      <c r="L67" s="214"/>
      <c r="M67" s="214"/>
      <c r="N67" s="214"/>
    </row>
    <row r="68" spans="1:20" ht="13">
      <c r="A68" s="207" t="s">
        <v>139</v>
      </c>
      <c r="E68" s="219"/>
      <c r="F68" s="220"/>
      <c r="H68" s="226"/>
      <c r="K68" s="214"/>
      <c r="L68" s="214"/>
      <c r="M68" s="214"/>
      <c r="N68" s="214"/>
    </row>
    <row r="69" spans="1:20" ht="13">
      <c r="A69" s="170" t="str">
        <f>HYPERLINK("https://phillipreeve.net/blog/fe-lenses-sony-comprehensive-independent-guide/","Our Guide to FE-mount lenses - If you need any help on finding the right lens.")</f>
        <v>Our Guide to FE-mount lenses - If you need any help on finding the right lens.</v>
      </c>
      <c r="E69" s="219"/>
      <c r="F69" s="220"/>
      <c r="H69" s="226"/>
      <c r="K69" s="214"/>
      <c r="L69" s="214"/>
      <c r="M69" s="214"/>
      <c r="N69" s="214"/>
    </row>
    <row r="70" spans="1:20" ht="13">
      <c r="A70" s="170" t="str">
        <f>HYPERLINK("https://phillipreeve.net/blog/9-golden-rules-to-buy-the-wrong-lens/","10 golden rules to buy the wrong lens.")</f>
        <v>10 golden rules to buy the wrong lens.</v>
      </c>
      <c r="E70" s="219"/>
      <c r="F70" s="220"/>
      <c r="H70" s="226"/>
      <c r="K70" s="214"/>
      <c r="L70" s="214"/>
      <c r="M70" s="214"/>
      <c r="N70" s="214"/>
    </row>
    <row r="71" spans="1:20" ht="13">
      <c r="A71" s="170" t="str">
        <f>HYPERLINK("https://phillipreeve.net/blog/user-guide-ultra-wideangle-lenses-sony-alpha-7-series/","Our Guide to Ultra-Wideangle lenses")</f>
        <v>Our Guide to Ultra-Wideangle lenses</v>
      </c>
      <c r="E71" s="219"/>
      <c r="F71" s="220"/>
      <c r="H71" s="226"/>
      <c r="K71" s="214"/>
      <c r="L71" s="214"/>
      <c r="M71" s="214"/>
      <c r="N71" s="214"/>
    </row>
    <row r="72" spans="1:20" ht="13">
      <c r="A72" s="170" t="str">
        <f>HYPERLINK("https://phillipreeve.net/blog/wideangle-lenses-for-the-sony-alpha-7-series/","Our Guide to Wideangle lenses")</f>
        <v>Our Guide to Wideangle lenses</v>
      </c>
      <c r="E72" s="219"/>
      <c r="F72" s="220"/>
      <c r="H72" s="226"/>
      <c r="K72" s="214"/>
      <c r="L72" s="214"/>
      <c r="M72" s="214"/>
      <c r="N72" s="214"/>
    </row>
    <row r="73" spans="1:20" ht="13">
      <c r="A73" s="170" t="str">
        <f>HYPERLINK("https://phillipreeve.net/blog/guide-to-macro-lenses-for-the-sony-a7-series/","Our Guide to Macro lenses")</f>
        <v>Our Guide to Macro lenses</v>
      </c>
      <c r="E73" s="219"/>
      <c r="F73" s="220"/>
      <c r="H73" s="226"/>
      <c r="K73" s="214"/>
      <c r="L73" s="214"/>
      <c r="M73" s="214"/>
      <c r="N73" s="214"/>
    </row>
    <row r="74" spans="1:20" ht="13">
      <c r="A74" s="170" t="str">
        <f>HYPERLINK("https://phillipreeve.net/blog/user-guide-to-portrait-lenses-sony-a7-series/","Our Guide to Portrait lenses")</f>
        <v>Our Guide to Portrait lenses</v>
      </c>
      <c r="E74" s="219"/>
      <c r="F74" s="220"/>
      <c r="H74" s="226"/>
      <c r="K74" s="214"/>
      <c r="L74" s="214"/>
      <c r="M74" s="214"/>
      <c r="N74" s="214"/>
    </row>
    <row r="75" spans="1:20" ht="13">
      <c r="A75" s="170" t="str">
        <f>HYPERLINK("https://phillipreeve.net/blog/building-a-lens-kit/","Building a lens kit")</f>
        <v>Building a lens kit</v>
      </c>
      <c r="E75" s="219"/>
      <c r="F75" s="220"/>
      <c r="H75" s="226"/>
      <c r="K75" s="214"/>
      <c r="L75" s="214"/>
      <c r="M75" s="214"/>
      <c r="N75" s="214"/>
    </row>
    <row r="76" spans="1:20" ht="13">
      <c r="A76" s="170" t="str">
        <f>HYPERLINK("https://phillipreeve.net/blog/affordable-manual-lenses-for-the-sony-alpha-77r7ii7rii-and-7s/","Guide to affordable lenses which cost less than $499")</f>
        <v>Guide to affordable lenses which cost less than $499</v>
      </c>
      <c r="H76" s="226"/>
      <c r="K76" s="214"/>
      <c r="L76" s="214"/>
      <c r="M76" s="214"/>
      <c r="N76" s="214"/>
    </row>
    <row r="77" spans="1:20" ht="13">
      <c r="A77" s="170" t="str">
        <f>HYPERLINK("https://phillipreeve.net/blog/affordable-manual-lenses-for-the-sony-alpha-77r7ii7rii-and-7s/","Guide to lenses that cost less than $99")</f>
        <v>Guide to lenses that cost less than $99</v>
      </c>
      <c r="H77" s="226"/>
      <c r="K77" s="214"/>
      <c r="L77" s="214"/>
      <c r="M77" s="214"/>
      <c r="N77" s="214"/>
    </row>
    <row r="78" spans="1:20" ht="13">
      <c r="A78" s="77"/>
      <c r="H78" s="226"/>
      <c r="K78" s="214"/>
      <c r="L78" s="214"/>
      <c r="M78" s="214"/>
      <c r="N78" s="214"/>
    </row>
    <row r="79" spans="1:20" ht="13">
      <c r="A79" s="207" t="s">
        <v>142</v>
      </c>
      <c r="H79" s="226"/>
      <c r="K79" s="214"/>
      <c r="L79" s="214"/>
      <c r="M79" s="214"/>
      <c r="N79" s="214"/>
    </row>
    <row r="80" spans="1:20" ht="13">
      <c r="A80" s="77" t="s">
        <v>143</v>
      </c>
      <c r="D80" s="233"/>
      <c r="H80" s="226"/>
      <c r="K80" s="214"/>
      <c r="L80" s="214"/>
      <c r="M80" s="214"/>
      <c r="N80" s="214"/>
    </row>
    <row r="81" spans="1:14" ht="13">
      <c r="A81" s="77" t="s">
        <v>144</v>
      </c>
      <c r="D81" s="233"/>
      <c r="H81" s="226"/>
      <c r="K81" s="214"/>
      <c r="L81" s="214"/>
      <c r="M81" s="214"/>
      <c r="N81" s="214"/>
    </row>
    <row r="82" spans="1:14" ht="13">
      <c r="H82" s="226"/>
      <c r="K82" s="214"/>
      <c r="L82" s="214"/>
      <c r="M82" s="214"/>
      <c r="N82" s="214"/>
    </row>
    <row r="83" spans="1:14" ht="13">
      <c r="H83" s="226"/>
      <c r="K83" s="214"/>
      <c r="L83" s="214"/>
      <c r="M83" s="214"/>
      <c r="N83" s="214"/>
    </row>
    <row r="84" spans="1:14" ht="13">
      <c r="H84" s="226"/>
      <c r="K84" s="214"/>
      <c r="L84" s="214"/>
      <c r="M84" s="214"/>
      <c r="N84" s="214"/>
    </row>
    <row r="85" spans="1:14" ht="13">
      <c r="H85" s="226"/>
      <c r="K85" s="214"/>
      <c r="L85" s="214"/>
      <c r="M85" s="214"/>
      <c r="N85" s="214"/>
    </row>
    <row r="86" spans="1:14" ht="13">
      <c r="H86" s="226"/>
      <c r="K86" s="214"/>
      <c r="L86" s="214"/>
      <c r="M86" s="214"/>
      <c r="N86" s="214"/>
    </row>
    <row r="87" spans="1:14" ht="13">
      <c r="H87" s="226"/>
      <c r="K87" s="214"/>
      <c r="L87" s="214"/>
      <c r="M87" s="214"/>
      <c r="N87" s="214"/>
    </row>
    <row r="88" spans="1:14" ht="13">
      <c r="H88" s="226"/>
      <c r="K88" s="214"/>
      <c r="L88" s="214"/>
      <c r="M88" s="214"/>
      <c r="N88" s="214"/>
    </row>
    <row r="89" spans="1:14" ht="13">
      <c r="A89" s="207"/>
      <c r="H89" s="226"/>
      <c r="K89" s="214"/>
      <c r="L89" s="214"/>
      <c r="M89" s="214"/>
      <c r="N89" s="214"/>
    </row>
    <row r="90" spans="1:14" ht="13">
      <c r="A90" s="207"/>
      <c r="H90" s="226"/>
      <c r="K90" s="214"/>
      <c r="L90" s="214"/>
      <c r="M90" s="214"/>
      <c r="N90" s="214"/>
    </row>
    <row r="91" spans="1:14" ht="13">
      <c r="A91" s="207"/>
      <c r="H91" s="226"/>
      <c r="K91" s="214"/>
      <c r="L91" s="214"/>
      <c r="M91" s="214"/>
      <c r="N91" s="214"/>
    </row>
    <row r="92" spans="1:14" ht="13">
      <c r="A92" s="207"/>
      <c r="H92" s="226"/>
      <c r="K92" s="214"/>
      <c r="L92" s="214"/>
      <c r="M92" s="214"/>
      <c r="N92" s="214"/>
    </row>
    <row r="93" spans="1:14" ht="13">
      <c r="A93" s="207"/>
      <c r="H93" s="226"/>
      <c r="K93" s="214"/>
      <c r="L93" s="214"/>
      <c r="M93" s="214"/>
      <c r="N93" s="214"/>
    </row>
    <row r="94" spans="1:14" ht="13">
      <c r="A94" s="207"/>
      <c r="H94" s="226"/>
      <c r="K94" s="214"/>
      <c r="L94" s="214"/>
      <c r="M94" s="214"/>
      <c r="N94" s="214"/>
    </row>
    <row r="95" spans="1:14" ht="13">
      <c r="A95" s="233"/>
      <c r="H95" s="226"/>
      <c r="K95" s="214"/>
      <c r="L95" s="214"/>
      <c r="M95" s="214"/>
      <c r="N95" s="214"/>
    </row>
    <row r="96" spans="1:14" ht="13">
      <c r="A96" s="207"/>
      <c r="H96" s="226"/>
      <c r="K96" s="214"/>
      <c r="L96" s="214"/>
      <c r="M96" s="214"/>
      <c r="N96" s="214"/>
    </row>
    <row r="97" spans="1:14" ht="13">
      <c r="A97" s="207"/>
      <c r="H97" s="226"/>
      <c r="K97" s="214"/>
      <c r="L97" s="214"/>
      <c r="M97" s="214"/>
      <c r="N97" s="214"/>
    </row>
    <row r="98" spans="1:14" ht="13">
      <c r="A98" s="233"/>
      <c r="H98" s="226"/>
      <c r="K98" s="214"/>
      <c r="L98" s="214"/>
      <c r="M98" s="214"/>
      <c r="N98" s="214"/>
    </row>
    <row r="99" spans="1:14" ht="13">
      <c r="A99" s="207"/>
      <c r="H99" s="226"/>
      <c r="K99" s="214"/>
      <c r="L99" s="214"/>
      <c r="M99" s="214"/>
      <c r="N99" s="214"/>
    </row>
    <row r="100" spans="1:14" ht="13">
      <c r="A100" s="207"/>
      <c r="H100" s="226"/>
      <c r="K100" s="214"/>
      <c r="L100" s="214"/>
      <c r="M100" s="214"/>
      <c r="N100" s="214"/>
    </row>
    <row r="101" spans="1:14" ht="13">
      <c r="A101" s="207"/>
      <c r="H101" s="226"/>
      <c r="K101" s="214"/>
      <c r="L101" s="214"/>
      <c r="M101" s="214"/>
      <c r="N101" s="214"/>
    </row>
    <row r="102" spans="1:14" ht="13">
      <c r="A102" s="207"/>
      <c r="H102" s="226"/>
      <c r="K102" s="214"/>
      <c r="L102" s="214"/>
      <c r="M102" s="214"/>
      <c r="N102" s="214"/>
    </row>
    <row r="103" spans="1:14" ht="13">
      <c r="A103" s="207"/>
      <c r="H103" s="226"/>
      <c r="K103" s="214"/>
      <c r="L103" s="214"/>
      <c r="M103" s="214"/>
      <c r="N103" s="214"/>
    </row>
    <row r="104" spans="1:14" ht="13">
      <c r="A104" s="207"/>
      <c r="H104" s="226"/>
      <c r="K104" s="214"/>
      <c r="L104" s="214"/>
      <c r="M104" s="214"/>
      <c r="N104" s="214"/>
    </row>
    <row r="105" spans="1:14" ht="13">
      <c r="A105" s="207"/>
      <c r="H105" s="226"/>
      <c r="K105" s="214"/>
      <c r="L105" s="214"/>
      <c r="M105" s="214"/>
      <c r="N105" s="214"/>
    </row>
    <row r="106" spans="1:14" ht="13">
      <c r="A106" s="207"/>
      <c r="H106" s="226"/>
      <c r="K106" s="214"/>
      <c r="L106" s="214"/>
      <c r="M106" s="214"/>
      <c r="N106" s="214"/>
    </row>
    <row r="107" spans="1:14" ht="13">
      <c r="A107" s="207"/>
      <c r="H107" s="226"/>
      <c r="K107" s="214"/>
      <c r="L107" s="214"/>
      <c r="M107" s="214"/>
      <c r="N107" s="214"/>
    </row>
    <row r="108" spans="1:14" ht="13">
      <c r="A108" s="233"/>
      <c r="H108" s="226"/>
      <c r="K108" s="214"/>
      <c r="L108" s="214"/>
      <c r="M108" s="214"/>
      <c r="N108" s="214"/>
    </row>
    <row r="109" spans="1:14" ht="13">
      <c r="A109" s="233"/>
      <c r="H109" s="226"/>
      <c r="K109" s="214"/>
      <c r="L109" s="214"/>
      <c r="M109" s="214"/>
      <c r="N109" s="214"/>
    </row>
    <row r="110" spans="1:14" ht="13">
      <c r="H110" s="226"/>
      <c r="K110" s="214"/>
      <c r="L110" s="214"/>
      <c r="M110" s="214"/>
      <c r="N110" s="214"/>
    </row>
    <row r="111" spans="1:14" ht="13">
      <c r="H111" s="226"/>
      <c r="K111" s="214"/>
      <c r="L111" s="214"/>
      <c r="M111" s="214"/>
      <c r="N111" s="214"/>
    </row>
    <row r="112" spans="1:14" ht="13">
      <c r="H112" s="226"/>
      <c r="K112" s="214"/>
      <c r="L112" s="214"/>
      <c r="M112" s="214"/>
      <c r="N112" s="214"/>
    </row>
    <row r="113" spans="8:14" ht="13">
      <c r="H113" s="226"/>
      <c r="K113" s="214"/>
      <c r="L113" s="214"/>
      <c r="M113" s="214"/>
      <c r="N113" s="214"/>
    </row>
    <row r="114" spans="8:14" ht="13">
      <c r="H114" s="226"/>
    </row>
    <row r="115" spans="8:14" ht="13">
      <c r="H115" s="226"/>
    </row>
    <row r="116" spans="8:14" ht="13">
      <c r="H116" s="226"/>
    </row>
    <row r="117" spans="8:14" ht="13">
      <c r="H117" s="226"/>
    </row>
    <row r="118" spans="8:14" ht="13">
      <c r="H118" s="226"/>
    </row>
    <row r="119" spans="8:14" ht="13">
      <c r="H119" s="226"/>
    </row>
    <row r="120" spans="8:14" ht="13">
      <c r="H120" s="226"/>
    </row>
    <row r="121" spans="8:14" ht="13">
      <c r="H121" s="226"/>
    </row>
    <row r="122" spans="8:14" ht="13">
      <c r="H122" s="226"/>
    </row>
    <row r="123" spans="8:14" ht="13">
      <c r="H123" s="226"/>
    </row>
    <row r="124" spans="8:14" ht="13">
      <c r="H124" s="226"/>
    </row>
    <row r="125" spans="8:14" ht="13">
      <c r="H125" s="226"/>
    </row>
    <row r="126" spans="8:14" ht="13">
      <c r="H126" s="226"/>
    </row>
    <row r="127" spans="8:14" ht="13">
      <c r="H127" s="226"/>
    </row>
    <row r="128" spans="8:14" ht="13">
      <c r="H128" s="226"/>
    </row>
    <row r="129" spans="8:8" ht="13">
      <c r="H129" s="226"/>
    </row>
    <row r="130" spans="8:8" ht="13">
      <c r="H130" s="226"/>
    </row>
    <row r="131" spans="8:8" ht="13">
      <c r="H131" s="226"/>
    </row>
    <row r="132" spans="8:8" ht="13">
      <c r="H132" s="226"/>
    </row>
    <row r="133" spans="8:8" ht="13">
      <c r="H133" s="226"/>
    </row>
    <row r="134" spans="8:8" ht="13">
      <c r="H134" s="226"/>
    </row>
    <row r="135" spans="8:8" ht="13">
      <c r="H135" s="226"/>
    </row>
    <row r="136" spans="8:8" ht="13">
      <c r="H136" s="226"/>
    </row>
    <row r="137" spans="8:8" ht="13">
      <c r="H137" s="226"/>
    </row>
    <row r="138" spans="8:8" ht="13">
      <c r="H138" s="226"/>
    </row>
    <row r="139" spans="8:8" ht="13">
      <c r="H139" s="226"/>
    </row>
    <row r="140" spans="8:8" ht="13">
      <c r="H140" s="226"/>
    </row>
    <row r="141" spans="8:8" ht="13">
      <c r="H141" s="226"/>
    </row>
    <row r="142" spans="8:8" ht="13">
      <c r="H142" s="226"/>
    </row>
    <row r="143" spans="8:8" ht="13">
      <c r="H143" s="226"/>
    </row>
    <row r="144" spans="8:8" ht="13">
      <c r="H144" s="226"/>
    </row>
    <row r="145" spans="8:8" ht="13">
      <c r="H145" s="226"/>
    </row>
    <row r="146" spans="8:8" ht="13">
      <c r="H146" s="226"/>
    </row>
    <row r="147" spans="8:8" ht="13">
      <c r="H147" s="226"/>
    </row>
    <row r="148" spans="8:8" ht="13">
      <c r="H148" s="226"/>
    </row>
    <row r="149" spans="8:8" ht="13">
      <c r="H149" s="226"/>
    </row>
    <row r="150" spans="8:8" ht="13">
      <c r="H150" s="226"/>
    </row>
    <row r="151" spans="8:8" ht="13">
      <c r="H151" s="226"/>
    </row>
    <row r="152" spans="8:8" ht="13">
      <c r="H152" s="226"/>
    </row>
    <row r="153" spans="8:8" ht="13">
      <c r="H153" s="226"/>
    </row>
    <row r="154" spans="8:8" ht="13">
      <c r="H154" s="226"/>
    </row>
    <row r="155" spans="8:8" ht="13">
      <c r="H155" s="226"/>
    </row>
    <row r="156" spans="8:8" ht="13">
      <c r="H156" s="226"/>
    </row>
    <row r="157" spans="8:8" ht="13">
      <c r="H157" s="226"/>
    </row>
    <row r="158" spans="8:8" ht="13">
      <c r="H158" s="226"/>
    </row>
    <row r="159" spans="8:8" ht="13">
      <c r="H159" s="226"/>
    </row>
    <row r="160" spans="8:8" ht="13">
      <c r="H160" s="226"/>
    </row>
    <row r="161" spans="8:8" ht="13">
      <c r="H161" s="226"/>
    </row>
    <row r="162" spans="8:8" ht="13">
      <c r="H162" s="226"/>
    </row>
    <row r="163" spans="8:8" ht="13">
      <c r="H163" s="226"/>
    </row>
    <row r="164" spans="8:8" ht="13">
      <c r="H164" s="226"/>
    </row>
    <row r="165" spans="8:8" ht="13">
      <c r="H165" s="226"/>
    </row>
    <row r="166" spans="8:8" ht="13">
      <c r="H166" s="226"/>
    </row>
    <row r="167" spans="8:8" ht="13">
      <c r="H167" s="226"/>
    </row>
    <row r="168" spans="8:8" ht="13">
      <c r="H168" s="226"/>
    </row>
    <row r="169" spans="8:8" ht="13">
      <c r="H169" s="226"/>
    </row>
    <row r="170" spans="8:8" ht="13">
      <c r="H170" s="226"/>
    </row>
    <row r="171" spans="8:8" ht="13">
      <c r="H171" s="226"/>
    </row>
    <row r="172" spans="8:8" ht="13">
      <c r="H172" s="226"/>
    </row>
    <row r="173" spans="8:8" ht="13">
      <c r="H173" s="226"/>
    </row>
    <row r="174" spans="8:8" ht="13">
      <c r="H174" s="226"/>
    </row>
    <row r="175" spans="8:8" ht="13">
      <c r="H175" s="226"/>
    </row>
    <row r="176" spans="8:8" ht="13">
      <c r="H176" s="226"/>
    </row>
    <row r="177" spans="8:8" ht="13">
      <c r="H177" s="226"/>
    </row>
    <row r="178" spans="8:8" ht="13">
      <c r="H178" s="226"/>
    </row>
    <row r="179" spans="8:8" ht="13">
      <c r="H179" s="226"/>
    </row>
    <row r="180" spans="8:8" ht="13">
      <c r="H180" s="226"/>
    </row>
    <row r="181" spans="8:8" ht="13">
      <c r="H181" s="226"/>
    </row>
    <row r="182" spans="8:8" ht="13">
      <c r="H182" s="226"/>
    </row>
    <row r="183" spans="8:8" ht="13">
      <c r="H183" s="226"/>
    </row>
    <row r="184" spans="8:8" ht="13">
      <c r="H184" s="226"/>
    </row>
    <row r="185" spans="8:8" ht="13">
      <c r="H185" s="226"/>
    </row>
    <row r="186" spans="8:8" ht="13">
      <c r="H186" s="226"/>
    </row>
    <row r="187" spans="8:8" ht="13">
      <c r="H187" s="226"/>
    </row>
    <row r="188" spans="8:8" ht="13">
      <c r="H188" s="226"/>
    </row>
    <row r="189" spans="8:8" ht="13">
      <c r="H189" s="226"/>
    </row>
    <row r="190" spans="8:8" ht="13">
      <c r="H190" s="226"/>
    </row>
    <row r="191" spans="8:8" ht="13">
      <c r="H191" s="226"/>
    </row>
    <row r="192" spans="8:8" ht="13">
      <c r="H192" s="226"/>
    </row>
    <row r="193" spans="8:8" ht="13">
      <c r="H193" s="226"/>
    </row>
    <row r="194" spans="8:8" ht="13">
      <c r="H194" s="226"/>
    </row>
    <row r="195" spans="8:8" ht="13">
      <c r="H195" s="226"/>
    </row>
    <row r="196" spans="8:8" ht="13">
      <c r="H196" s="226"/>
    </row>
    <row r="197" spans="8:8" ht="13">
      <c r="H197" s="226"/>
    </row>
    <row r="198" spans="8:8" ht="13">
      <c r="H198" s="226"/>
    </row>
    <row r="199" spans="8:8" ht="13">
      <c r="H199" s="226"/>
    </row>
    <row r="200" spans="8:8" ht="13">
      <c r="H200" s="226"/>
    </row>
    <row r="201" spans="8:8" ht="13">
      <c r="H201" s="226"/>
    </row>
    <row r="202" spans="8:8" ht="13">
      <c r="H202" s="226"/>
    </row>
    <row r="203" spans="8:8" ht="13">
      <c r="H203" s="226"/>
    </row>
    <row r="204" spans="8:8" ht="13">
      <c r="H204" s="226"/>
    </row>
    <row r="205" spans="8:8" ht="13">
      <c r="H205" s="226"/>
    </row>
    <row r="206" spans="8:8" ht="13">
      <c r="H206" s="226"/>
    </row>
    <row r="207" spans="8:8" ht="13">
      <c r="H207" s="226"/>
    </row>
    <row r="208" spans="8:8" ht="13">
      <c r="H208" s="226"/>
    </row>
    <row r="209" spans="8:8" ht="13">
      <c r="H209" s="226"/>
    </row>
    <row r="210" spans="8:8" ht="13">
      <c r="H210" s="226"/>
    </row>
    <row r="211" spans="8:8" ht="13">
      <c r="H211" s="226"/>
    </row>
    <row r="212" spans="8:8" ht="13">
      <c r="H212" s="226"/>
    </row>
    <row r="213" spans="8:8" ht="13">
      <c r="H213" s="226"/>
    </row>
    <row r="214" spans="8:8" ht="13">
      <c r="H214" s="226"/>
    </row>
    <row r="215" spans="8:8" ht="13">
      <c r="H215" s="226"/>
    </row>
    <row r="216" spans="8:8" ht="13">
      <c r="H216" s="226"/>
    </row>
    <row r="217" spans="8:8" ht="13">
      <c r="H217" s="226"/>
    </row>
    <row r="218" spans="8:8" ht="13">
      <c r="H218" s="226"/>
    </row>
    <row r="219" spans="8:8" ht="13">
      <c r="H219" s="226"/>
    </row>
    <row r="220" spans="8:8" ht="13">
      <c r="H220" s="226"/>
    </row>
    <row r="221" spans="8:8" ht="13">
      <c r="H221" s="226"/>
    </row>
    <row r="222" spans="8:8" ht="13">
      <c r="H222" s="226"/>
    </row>
    <row r="223" spans="8:8" ht="13">
      <c r="H223" s="226"/>
    </row>
    <row r="224" spans="8:8" ht="13">
      <c r="H224" s="226"/>
    </row>
    <row r="225" spans="8:8" ht="13">
      <c r="H225" s="226"/>
    </row>
    <row r="226" spans="8:8" ht="13">
      <c r="H226" s="226"/>
    </row>
    <row r="227" spans="8:8" ht="13">
      <c r="H227" s="226"/>
    </row>
    <row r="228" spans="8:8" ht="13">
      <c r="H228" s="226"/>
    </row>
    <row r="229" spans="8:8" ht="13">
      <c r="H229" s="226"/>
    </row>
    <row r="230" spans="8:8" ht="13">
      <c r="H230" s="226"/>
    </row>
    <row r="231" spans="8:8" ht="13">
      <c r="H231" s="226"/>
    </row>
    <row r="232" spans="8:8" ht="13">
      <c r="H232" s="226"/>
    </row>
    <row r="233" spans="8:8" ht="13">
      <c r="H233" s="226"/>
    </row>
    <row r="234" spans="8:8" ht="13">
      <c r="H234" s="226"/>
    </row>
    <row r="235" spans="8:8" ht="13">
      <c r="H235" s="226"/>
    </row>
    <row r="236" spans="8:8" ht="13">
      <c r="H236" s="226"/>
    </row>
    <row r="237" spans="8:8" ht="13">
      <c r="H237" s="226"/>
    </row>
    <row r="238" spans="8:8" ht="13">
      <c r="H238" s="226"/>
    </row>
    <row r="239" spans="8:8" ht="13">
      <c r="H239" s="226"/>
    </row>
    <row r="240" spans="8:8" ht="13">
      <c r="H240" s="226"/>
    </row>
    <row r="241" spans="8:8" ht="13">
      <c r="H241" s="226"/>
    </row>
    <row r="242" spans="8:8" ht="13">
      <c r="H242" s="226"/>
    </row>
    <row r="243" spans="8:8" ht="13">
      <c r="H243" s="226"/>
    </row>
    <row r="244" spans="8:8" ht="13">
      <c r="H244" s="226"/>
    </row>
    <row r="245" spans="8:8" ht="13">
      <c r="H245" s="226"/>
    </row>
    <row r="246" spans="8:8" ht="13">
      <c r="H246" s="226"/>
    </row>
    <row r="247" spans="8:8" ht="13">
      <c r="H247" s="226"/>
    </row>
    <row r="248" spans="8:8" ht="13">
      <c r="H248" s="226"/>
    </row>
    <row r="249" spans="8:8" ht="13">
      <c r="H249" s="226"/>
    </row>
    <row r="250" spans="8:8" ht="13">
      <c r="H250" s="226"/>
    </row>
    <row r="251" spans="8:8" ht="13">
      <c r="H251" s="226"/>
    </row>
    <row r="252" spans="8:8" ht="13">
      <c r="H252" s="226"/>
    </row>
    <row r="253" spans="8:8" ht="13">
      <c r="H253" s="226"/>
    </row>
    <row r="254" spans="8:8" ht="13">
      <c r="H254" s="226"/>
    </row>
    <row r="255" spans="8:8" ht="13">
      <c r="H255" s="226"/>
    </row>
    <row r="256" spans="8:8" ht="13">
      <c r="H256" s="226"/>
    </row>
    <row r="257" spans="8:8" ht="13">
      <c r="H257" s="226"/>
    </row>
    <row r="258" spans="8:8" ht="13">
      <c r="H258" s="226"/>
    </row>
    <row r="259" spans="8:8" ht="13">
      <c r="H259" s="226"/>
    </row>
    <row r="260" spans="8:8" ht="13">
      <c r="H260" s="226"/>
    </row>
    <row r="261" spans="8:8" ht="13">
      <c r="H261" s="226"/>
    </row>
    <row r="262" spans="8:8" ht="13">
      <c r="H262" s="226"/>
    </row>
    <row r="263" spans="8:8" ht="13">
      <c r="H263" s="226"/>
    </row>
    <row r="264" spans="8:8" ht="13">
      <c r="H264" s="226"/>
    </row>
    <row r="265" spans="8:8" ht="13">
      <c r="H265" s="226"/>
    </row>
    <row r="266" spans="8:8" ht="13">
      <c r="H266" s="226"/>
    </row>
    <row r="267" spans="8:8" ht="13">
      <c r="H267" s="226"/>
    </row>
    <row r="268" spans="8:8" ht="13">
      <c r="H268" s="226"/>
    </row>
    <row r="269" spans="8:8" ht="13">
      <c r="H269" s="226"/>
    </row>
    <row r="270" spans="8:8" ht="13">
      <c r="H270" s="226"/>
    </row>
    <row r="271" spans="8:8" ht="13">
      <c r="H271" s="226"/>
    </row>
    <row r="272" spans="8:8" ht="13">
      <c r="H272" s="226"/>
    </row>
    <row r="273" spans="8:8" ht="13">
      <c r="H273" s="226"/>
    </row>
    <row r="274" spans="8:8" ht="13">
      <c r="H274" s="226"/>
    </row>
    <row r="275" spans="8:8" ht="13">
      <c r="H275" s="226"/>
    </row>
    <row r="276" spans="8:8" ht="13">
      <c r="H276" s="226"/>
    </row>
    <row r="277" spans="8:8" ht="13">
      <c r="H277" s="226"/>
    </row>
    <row r="278" spans="8:8" ht="13">
      <c r="H278" s="226"/>
    </row>
    <row r="279" spans="8:8" ht="13">
      <c r="H279" s="226"/>
    </row>
    <row r="280" spans="8:8" ht="13">
      <c r="H280" s="226"/>
    </row>
    <row r="281" spans="8:8" ht="13">
      <c r="H281" s="226"/>
    </row>
    <row r="282" spans="8:8" ht="13">
      <c r="H282" s="226"/>
    </row>
    <row r="283" spans="8:8" ht="13">
      <c r="H283" s="226"/>
    </row>
    <row r="284" spans="8:8" ht="13">
      <c r="H284" s="226"/>
    </row>
    <row r="285" spans="8:8" ht="13">
      <c r="H285" s="226"/>
    </row>
    <row r="286" spans="8:8" ht="13">
      <c r="H286" s="226"/>
    </row>
    <row r="287" spans="8:8" ht="13">
      <c r="H287" s="226"/>
    </row>
    <row r="288" spans="8:8" ht="13">
      <c r="H288" s="226"/>
    </row>
    <row r="289" spans="8:8" ht="13">
      <c r="H289" s="226"/>
    </row>
    <row r="290" spans="8:8" ht="13">
      <c r="H290" s="226"/>
    </row>
    <row r="291" spans="8:8" ht="13">
      <c r="H291" s="226"/>
    </row>
    <row r="292" spans="8:8" ht="13">
      <c r="H292" s="226"/>
    </row>
    <row r="293" spans="8:8" ht="13">
      <c r="H293" s="226"/>
    </row>
    <row r="294" spans="8:8" ht="13">
      <c r="H294" s="226"/>
    </row>
    <row r="295" spans="8:8" ht="13">
      <c r="H295" s="226"/>
    </row>
    <row r="296" spans="8:8" ht="13">
      <c r="H296" s="226"/>
    </row>
    <row r="297" spans="8:8" ht="13">
      <c r="H297" s="226"/>
    </row>
    <row r="298" spans="8:8" ht="13">
      <c r="H298" s="226"/>
    </row>
    <row r="299" spans="8:8" ht="13">
      <c r="H299" s="226"/>
    </row>
    <row r="300" spans="8:8" ht="13">
      <c r="H300" s="226"/>
    </row>
    <row r="301" spans="8:8" ht="13">
      <c r="H301" s="226"/>
    </row>
    <row r="302" spans="8:8" ht="13">
      <c r="H302" s="226"/>
    </row>
    <row r="303" spans="8:8" ht="13">
      <c r="H303" s="226"/>
    </row>
    <row r="304" spans="8:8" ht="13">
      <c r="H304" s="226"/>
    </row>
    <row r="305" spans="8:8" ht="13">
      <c r="H305" s="226"/>
    </row>
    <row r="306" spans="8:8" ht="13">
      <c r="H306" s="226"/>
    </row>
    <row r="307" spans="8:8" ht="13">
      <c r="H307" s="226"/>
    </row>
    <row r="308" spans="8:8" ht="13">
      <c r="H308" s="226"/>
    </row>
    <row r="309" spans="8:8" ht="13">
      <c r="H309" s="226"/>
    </row>
    <row r="310" spans="8:8" ht="13">
      <c r="H310" s="226"/>
    </row>
    <row r="311" spans="8:8" ht="13">
      <c r="H311" s="226"/>
    </row>
    <row r="312" spans="8:8" ht="13">
      <c r="H312" s="226"/>
    </row>
    <row r="313" spans="8:8" ht="13">
      <c r="H313" s="226"/>
    </row>
    <row r="314" spans="8:8" ht="13">
      <c r="H314" s="226"/>
    </row>
    <row r="315" spans="8:8" ht="13">
      <c r="H315" s="226"/>
    </row>
    <row r="316" spans="8:8" ht="13">
      <c r="H316" s="226"/>
    </row>
    <row r="317" spans="8:8" ht="13">
      <c r="H317" s="226"/>
    </row>
    <row r="318" spans="8:8" ht="13">
      <c r="H318" s="226"/>
    </row>
    <row r="319" spans="8:8" ht="13">
      <c r="H319" s="226"/>
    </row>
    <row r="320" spans="8:8" ht="13">
      <c r="H320" s="226"/>
    </row>
    <row r="321" spans="8:8" ht="13">
      <c r="H321" s="226"/>
    </row>
    <row r="322" spans="8:8" ht="13">
      <c r="H322" s="226"/>
    </row>
    <row r="323" spans="8:8" ht="13">
      <c r="H323" s="226"/>
    </row>
    <row r="324" spans="8:8" ht="13">
      <c r="H324" s="226"/>
    </row>
    <row r="325" spans="8:8" ht="13">
      <c r="H325" s="226"/>
    </row>
    <row r="326" spans="8:8" ht="13">
      <c r="H326" s="226"/>
    </row>
    <row r="327" spans="8:8" ht="13">
      <c r="H327" s="226"/>
    </row>
    <row r="328" spans="8:8" ht="13">
      <c r="H328" s="226"/>
    </row>
    <row r="329" spans="8:8" ht="13">
      <c r="H329" s="226"/>
    </row>
    <row r="330" spans="8:8" ht="13">
      <c r="H330" s="226"/>
    </row>
    <row r="331" spans="8:8" ht="13">
      <c r="H331" s="226"/>
    </row>
    <row r="332" spans="8:8" ht="13">
      <c r="H332" s="226"/>
    </row>
    <row r="333" spans="8:8" ht="13">
      <c r="H333" s="226"/>
    </row>
    <row r="334" spans="8:8" ht="13">
      <c r="H334" s="226"/>
    </row>
    <row r="335" spans="8:8" ht="13">
      <c r="H335" s="226"/>
    </row>
    <row r="336" spans="8:8" ht="13">
      <c r="H336" s="226"/>
    </row>
    <row r="337" spans="8:8" ht="13">
      <c r="H337" s="226"/>
    </row>
    <row r="338" spans="8:8" ht="13">
      <c r="H338" s="226"/>
    </row>
    <row r="339" spans="8:8" ht="13">
      <c r="H339" s="226"/>
    </row>
    <row r="340" spans="8:8" ht="13">
      <c r="H340" s="226"/>
    </row>
    <row r="341" spans="8:8" ht="13">
      <c r="H341" s="226"/>
    </row>
    <row r="342" spans="8:8" ht="13">
      <c r="H342" s="226"/>
    </row>
    <row r="343" spans="8:8" ht="13">
      <c r="H343" s="226"/>
    </row>
    <row r="344" spans="8:8" ht="13">
      <c r="H344" s="226"/>
    </row>
    <row r="345" spans="8:8" ht="13">
      <c r="H345" s="226"/>
    </row>
    <row r="346" spans="8:8" ht="13">
      <c r="H346" s="226"/>
    </row>
    <row r="347" spans="8:8" ht="13">
      <c r="H347" s="226"/>
    </row>
    <row r="348" spans="8:8" ht="13">
      <c r="H348" s="226"/>
    </row>
    <row r="349" spans="8:8" ht="13">
      <c r="H349" s="226"/>
    </row>
    <row r="350" spans="8:8" ht="13">
      <c r="H350" s="226"/>
    </row>
    <row r="351" spans="8:8" ht="13">
      <c r="H351" s="226"/>
    </row>
    <row r="352" spans="8:8" ht="13">
      <c r="H352" s="226"/>
    </row>
    <row r="353" spans="8:8" ht="13">
      <c r="H353" s="226"/>
    </row>
    <row r="354" spans="8:8" ht="13">
      <c r="H354" s="226"/>
    </row>
    <row r="355" spans="8:8" ht="13">
      <c r="H355" s="226"/>
    </row>
    <row r="356" spans="8:8" ht="13">
      <c r="H356" s="226"/>
    </row>
    <row r="357" spans="8:8" ht="13">
      <c r="H357" s="226"/>
    </row>
    <row r="358" spans="8:8" ht="13">
      <c r="H358" s="226"/>
    </row>
    <row r="359" spans="8:8" ht="13">
      <c r="H359" s="226"/>
    </row>
    <row r="360" spans="8:8" ht="13">
      <c r="H360" s="226"/>
    </row>
    <row r="361" spans="8:8" ht="13">
      <c r="H361" s="226"/>
    </row>
    <row r="362" spans="8:8" ht="13">
      <c r="H362" s="226"/>
    </row>
    <row r="363" spans="8:8" ht="13">
      <c r="H363" s="226"/>
    </row>
    <row r="364" spans="8:8" ht="13">
      <c r="H364" s="226"/>
    </row>
    <row r="365" spans="8:8" ht="13">
      <c r="H365" s="226"/>
    </row>
    <row r="366" spans="8:8" ht="13">
      <c r="H366" s="226"/>
    </row>
    <row r="367" spans="8:8" ht="13">
      <c r="H367" s="226"/>
    </row>
    <row r="368" spans="8:8" ht="13">
      <c r="H368" s="226"/>
    </row>
    <row r="369" spans="8:8" ht="13">
      <c r="H369" s="226"/>
    </row>
    <row r="370" spans="8:8" ht="13">
      <c r="H370" s="226"/>
    </row>
    <row r="371" spans="8:8" ht="13">
      <c r="H371" s="226"/>
    </row>
    <row r="372" spans="8:8" ht="13">
      <c r="H372" s="226"/>
    </row>
    <row r="373" spans="8:8" ht="13">
      <c r="H373" s="226"/>
    </row>
    <row r="374" spans="8:8" ht="13">
      <c r="H374" s="226"/>
    </row>
    <row r="375" spans="8:8" ht="13">
      <c r="H375" s="226"/>
    </row>
    <row r="376" spans="8:8" ht="13">
      <c r="H376" s="226"/>
    </row>
    <row r="377" spans="8:8" ht="13">
      <c r="H377" s="226"/>
    </row>
    <row r="378" spans="8:8" ht="13">
      <c r="H378" s="226"/>
    </row>
    <row r="379" spans="8:8" ht="13">
      <c r="H379" s="226"/>
    </row>
    <row r="380" spans="8:8" ht="13">
      <c r="H380" s="226"/>
    </row>
    <row r="381" spans="8:8" ht="13">
      <c r="H381" s="226"/>
    </row>
    <row r="382" spans="8:8" ht="13">
      <c r="H382" s="226"/>
    </row>
    <row r="383" spans="8:8" ht="13">
      <c r="H383" s="226"/>
    </row>
    <row r="384" spans="8:8" ht="13">
      <c r="H384" s="226"/>
    </row>
    <row r="385" spans="8:8" ht="13">
      <c r="H385" s="226"/>
    </row>
    <row r="386" spans="8:8" ht="13">
      <c r="H386" s="226"/>
    </row>
    <row r="387" spans="8:8" ht="13">
      <c r="H387" s="226"/>
    </row>
    <row r="388" spans="8:8" ht="13">
      <c r="H388" s="226"/>
    </row>
    <row r="389" spans="8:8" ht="13">
      <c r="H389" s="226"/>
    </row>
    <row r="390" spans="8:8" ht="13">
      <c r="H390" s="226"/>
    </row>
    <row r="391" spans="8:8" ht="13">
      <c r="H391" s="226"/>
    </row>
    <row r="392" spans="8:8" ht="13">
      <c r="H392" s="226"/>
    </row>
    <row r="393" spans="8:8" ht="13">
      <c r="H393" s="226"/>
    </row>
    <row r="394" spans="8:8" ht="13">
      <c r="H394" s="226"/>
    </row>
    <row r="395" spans="8:8" ht="13">
      <c r="H395" s="226"/>
    </row>
    <row r="396" spans="8:8" ht="13">
      <c r="H396" s="226"/>
    </row>
    <row r="397" spans="8:8" ht="13">
      <c r="H397" s="226"/>
    </row>
    <row r="398" spans="8:8" ht="13">
      <c r="H398" s="226"/>
    </row>
    <row r="399" spans="8:8" ht="13">
      <c r="H399" s="226"/>
    </row>
    <row r="400" spans="8:8" ht="13">
      <c r="H400" s="226"/>
    </row>
    <row r="401" spans="8:8" ht="13">
      <c r="H401" s="226"/>
    </row>
    <row r="402" spans="8:8" ht="13">
      <c r="H402" s="226"/>
    </row>
    <row r="403" spans="8:8" ht="13">
      <c r="H403" s="226"/>
    </row>
    <row r="404" spans="8:8" ht="13">
      <c r="H404" s="226"/>
    </row>
    <row r="405" spans="8:8" ht="13">
      <c r="H405" s="226"/>
    </row>
    <row r="406" spans="8:8" ht="13">
      <c r="H406" s="226"/>
    </row>
    <row r="407" spans="8:8" ht="13">
      <c r="H407" s="226"/>
    </row>
    <row r="408" spans="8:8" ht="13">
      <c r="H408" s="226"/>
    </row>
    <row r="409" spans="8:8" ht="13">
      <c r="H409" s="226"/>
    </row>
    <row r="410" spans="8:8" ht="13">
      <c r="H410" s="226"/>
    </row>
    <row r="411" spans="8:8" ht="13">
      <c r="H411" s="226"/>
    </row>
    <row r="412" spans="8:8" ht="13">
      <c r="H412" s="226"/>
    </row>
    <row r="413" spans="8:8" ht="13">
      <c r="H413" s="226"/>
    </row>
    <row r="414" spans="8:8" ht="13">
      <c r="H414" s="226"/>
    </row>
    <row r="415" spans="8:8" ht="13">
      <c r="H415" s="226"/>
    </row>
    <row r="416" spans="8:8" ht="13">
      <c r="H416" s="226"/>
    </row>
    <row r="417" spans="8:8" ht="13">
      <c r="H417" s="226"/>
    </row>
    <row r="418" spans="8:8" ht="13">
      <c r="H418" s="226"/>
    </row>
    <row r="419" spans="8:8" ht="13">
      <c r="H419" s="226"/>
    </row>
    <row r="420" spans="8:8" ht="13">
      <c r="H420" s="226"/>
    </row>
    <row r="421" spans="8:8" ht="13">
      <c r="H421" s="226"/>
    </row>
    <row r="422" spans="8:8" ht="13">
      <c r="H422" s="226"/>
    </row>
    <row r="423" spans="8:8" ht="13">
      <c r="H423" s="226"/>
    </row>
    <row r="424" spans="8:8" ht="13">
      <c r="H424" s="226"/>
    </row>
    <row r="425" spans="8:8" ht="13">
      <c r="H425" s="226"/>
    </row>
    <row r="426" spans="8:8" ht="13">
      <c r="H426" s="226"/>
    </row>
    <row r="427" spans="8:8" ht="13">
      <c r="H427" s="226"/>
    </row>
    <row r="428" spans="8:8" ht="13">
      <c r="H428" s="226"/>
    </row>
    <row r="429" spans="8:8" ht="13">
      <c r="H429" s="226"/>
    </row>
    <row r="430" spans="8:8" ht="13">
      <c r="H430" s="226"/>
    </row>
    <row r="431" spans="8:8" ht="13">
      <c r="H431" s="226"/>
    </row>
    <row r="432" spans="8:8" ht="13">
      <c r="H432" s="226"/>
    </row>
    <row r="433" spans="8:8" ht="13">
      <c r="H433" s="226"/>
    </row>
    <row r="434" spans="8:8" ht="13">
      <c r="H434" s="226"/>
    </row>
    <row r="435" spans="8:8" ht="13">
      <c r="H435" s="226"/>
    </row>
    <row r="436" spans="8:8" ht="13">
      <c r="H436" s="226"/>
    </row>
    <row r="437" spans="8:8" ht="13">
      <c r="H437" s="226"/>
    </row>
    <row r="438" spans="8:8" ht="13">
      <c r="H438" s="226"/>
    </row>
    <row r="439" spans="8:8" ht="13">
      <c r="H439" s="226"/>
    </row>
    <row r="440" spans="8:8" ht="13">
      <c r="H440" s="226"/>
    </row>
    <row r="441" spans="8:8" ht="13">
      <c r="H441" s="226"/>
    </row>
    <row r="442" spans="8:8" ht="13">
      <c r="H442" s="226"/>
    </row>
    <row r="443" spans="8:8" ht="13">
      <c r="H443" s="226"/>
    </row>
    <row r="444" spans="8:8" ht="13">
      <c r="H444" s="226"/>
    </row>
    <row r="445" spans="8:8" ht="13">
      <c r="H445" s="226"/>
    </row>
    <row r="446" spans="8:8" ht="13">
      <c r="H446" s="226"/>
    </row>
    <row r="447" spans="8:8" ht="13">
      <c r="H447" s="226"/>
    </row>
    <row r="448" spans="8:8" ht="13">
      <c r="H448" s="226"/>
    </row>
    <row r="449" spans="8:8" ht="13">
      <c r="H449" s="226"/>
    </row>
    <row r="450" spans="8:8" ht="13">
      <c r="H450" s="226"/>
    </row>
    <row r="451" spans="8:8" ht="13">
      <c r="H451" s="226"/>
    </row>
    <row r="452" spans="8:8" ht="13">
      <c r="H452" s="226"/>
    </row>
    <row r="453" spans="8:8" ht="13">
      <c r="H453" s="226"/>
    </row>
    <row r="454" spans="8:8" ht="13">
      <c r="H454" s="226"/>
    </row>
    <row r="455" spans="8:8" ht="13">
      <c r="H455" s="226"/>
    </row>
    <row r="456" spans="8:8" ht="13">
      <c r="H456" s="226"/>
    </row>
    <row r="457" spans="8:8" ht="13">
      <c r="H457" s="226"/>
    </row>
    <row r="458" spans="8:8" ht="13">
      <c r="H458" s="226"/>
    </row>
    <row r="459" spans="8:8" ht="13">
      <c r="H459" s="226"/>
    </row>
    <row r="460" spans="8:8" ht="13">
      <c r="H460" s="226"/>
    </row>
    <row r="461" spans="8:8" ht="13">
      <c r="H461" s="226"/>
    </row>
    <row r="462" spans="8:8" ht="13">
      <c r="H462" s="226"/>
    </row>
    <row r="463" spans="8:8" ht="13">
      <c r="H463" s="226"/>
    </row>
    <row r="464" spans="8:8" ht="13">
      <c r="H464" s="226"/>
    </row>
    <row r="465" spans="8:8" ht="13">
      <c r="H465" s="226"/>
    </row>
    <row r="466" spans="8:8" ht="13">
      <c r="H466" s="226"/>
    </row>
    <row r="467" spans="8:8" ht="13">
      <c r="H467" s="226"/>
    </row>
    <row r="468" spans="8:8" ht="13">
      <c r="H468" s="226"/>
    </row>
    <row r="469" spans="8:8" ht="13">
      <c r="H469" s="226"/>
    </row>
    <row r="470" spans="8:8" ht="13">
      <c r="H470" s="226"/>
    </row>
    <row r="471" spans="8:8" ht="13">
      <c r="H471" s="226"/>
    </row>
    <row r="472" spans="8:8" ht="13">
      <c r="H472" s="226"/>
    </row>
    <row r="473" spans="8:8" ht="13">
      <c r="H473" s="226"/>
    </row>
    <row r="474" spans="8:8" ht="13">
      <c r="H474" s="226"/>
    </row>
    <row r="475" spans="8:8" ht="13">
      <c r="H475" s="226"/>
    </row>
    <row r="476" spans="8:8" ht="13">
      <c r="H476" s="226"/>
    </row>
    <row r="477" spans="8:8" ht="13">
      <c r="H477" s="226"/>
    </row>
    <row r="478" spans="8:8" ht="13">
      <c r="H478" s="226"/>
    </row>
    <row r="479" spans="8:8" ht="13">
      <c r="H479" s="226"/>
    </row>
    <row r="480" spans="8:8" ht="13">
      <c r="H480" s="226"/>
    </row>
    <row r="481" spans="8:8" ht="13">
      <c r="H481" s="226"/>
    </row>
    <row r="482" spans="8:8" ht="13">
      <c r="H482" s="226"/>
    </row>
    <row r="483" spans="8:8" ht="13">
      <c r="H483" s="226"/>
    </row>
    <row r="484" spans="8:8" ht="13">
      <c r="H484" s="226"/>
    </row>
    <row r="485" spans="8:8" ht="13">
      <c r="H485" s="226"/>
    </row>
    <row r="486" spans="8:8" ht="13">
      <c r="H486" s="226"/>
    </row>
    <row r="487" spans="8:8" ht="13">
      <c r="H487" s="226"/>
    </row>
    <row r="488" spans="8:8" ht="13">
      <c r="H488" s="226"/>
    </row>
    <row r="489" spans="8:8" ht="13">
      <c r="H489" s="226"/>
    </row>
    <row r="490" spans="8:8" ht="13">
      <c r="H490" s="226"/>
    </row>
    <row r="491" spans="8:8" ht="13">
      <c r="H491" s="226"/>
    </row>
    <row r="492" spans="8:8" ht="13">
      <c r="H492" s="226"/>
    </row>
    <row r="493" spans="8:8" ht="13">
      <c r="H493" s="226"/>
    </row>
    <row r="494" spans="8:8" ht="13">
      <c r="H494" s="226"/>
    </row>
    <row r="495" spans="8:8" ht="13">
      <c r="H495" s="226"/>
    </row>
    <row r="496" spans="8:8" ht="13">
      <c r="H496" s="226"/>
    </row>
    <row r="497" spans="8:8" ht="13">
      <c r="H497" s="226"/>
    </row>
    <row r="498" spans="8:8" ht="13">
      <c r="H498" s="226"/>
    </row>
    <row r="499" spans="8:8" ht="13">
      <c r="H499" s="226"/>
    </row>
    <row r="500" spans="8:8" ht="13">
      <c r="H500" s="226"/>
    </row>
    <row r="501" spans="8:8" ht="13">
      <c r="H501" s="226"/>
    </row>
    <row r="502" spans="8:8" ht="13">
      <c r="H502" s="226"/>
    </row>
    <row r="503" spans="8:8" ht="13">
      <c r="H503" s="226"/>
    </row>
    <row r="504" spans="8:8" ht="13">
      <c r="H504" s="226"/>
    </row>
    <row r="505" spans="8:8" ht="13">
      <c r="H505" s="226"/>
    </row>
    <row r="506" spans="8:8" ht="13">
      <c r="H506" s="226"/>
    </row>
    <row r="507" spans="8:8" ht="13">
      <c r="H507" s="226"/>
    </row>
    <row r="508" spans="8:8" ht="13">
      <c r="H508" s="226"/>
    </row>
    <row r="509" spans="8:8" ht="13">
      <c r="H509" s="226"/>
    </row>
    <row r="510" spans="8:8" ht="13">
      <c r="H510" s="226"/>
    </row>
    <row r="511" spans="8:8" ht="13">
      <c r="H511" s="226"/>
    </row>
    <row r="512" spans="8:8" ht="13">
      <c r="H512" s="226"/>
    </row>
    <row r="513" spans="8:8" ht="13">
      <c r="H513" s="226"/>
    </row>
    <row r="514" spans="8:8" ht="13">
      <c r="H514" s="226"/>
    </row>
    <row r="515" spans="8:8" ht="13">
      <c r="H515" s="226"/>
    </row>
    <row r="516" spans="8:8" ht="13">
      <c r="H516" s="226"/>
    </row>
    <row r="517" spans="8:8" ht="13">
      <c r="H517" s="226"/>
    </row>
    <row r="518" spans="8:8" ht="13">
      <c r="H518" s="226"/>
    </row>
    <row r="519" spans="8:8" ht="13">
      <c r="H519" s="226"/>
    </row>
    <row r="520" spans="8:8" ht="13">
      <c r="H520" s="226"/>
    </row>
    <row r="521" spans="8:8" ht="13">
      <c r="H521" s="226"/>
    </row>
    <row r="522" spans="8:8" ht="13">
      <c r="H522" s="226"/>
    </row>
    <row r="523" spans="8:8" ht="13">
      <c r="H523" s="226"/>
    </row>
    <row r="524" spans="8:8" ht="13">
      <c r="H524" s="226"/>
    </row>
    <row r="525" spans="8:8" ht="13">
      <c r="H525" s="226"/>
    </row>
    <row r="526" spans="8:8" ht="13">
      <c r="H526" s="226"/>
    </row>
    <row r="527" spans="8:8" ht="13">
      <c r="H527" s="226"/>
    </row>
    <row r="528" spans="8:8" ht="13">
      <c r="H528" s="226"/>
    </row>
    <row r="529" spans="8:8" ht="13">
      <c r="H529" s="226"/>
    </row>
    <row r="530" spans="8:8" ht="13">
      <c r="H530" s="226"/>
    </row>
    <row r="531" spans="8:8" ht="13">
      <c r="H531" s="226"/>
    </row>
    <row r="532" spans="8:8" ht="13">
      <c r="H532" s="226"/>
    </row>
    <row r="533" spans="8:8" ht="13">
      <c r="H533" s="226"/>
    </row>
    <row r="534" spans="8:8" ht="13">
      <c r="H534" s="226"/>
    </row>
    <row r="535" spans="8:8" ht="13">
      <c r="H535" s="226"/>
    </row>
    <row r="536" spans="8:8" ht="13">
      <c r="H536" s="226"/>
    </row>
    <row r="537" spans="8:8" ht="13">
      <c r="H537" s="226"/>
    </row>
    <row r="538" spans="8:8" ht="13">
      <c r="H538" s="226"/>
    </row>
    <row r="539" spans="8:8" ht="13">
      <c r="H539" s="226"/>
    </row>
    <row r="540" spans="8:8" ht="13">
      <c r="H540" s="226"/>
    </row>
    <row r="541" spans="8:8" ht="13">
      <c r="H541" s="226"/>
    </row>
    <row r="542" spans="8:8" ht="13">
      <c r="H542" s="226"/>
    </row>
    <row r="543" spans="8:8" ht="13">
      <c r="H543" s="226"/>
    </row>
    <row r="544" spans="8:8" ht="13">
      <c r="H544" s="226"/>
    </row>
    <row r="545" spans="8:8" ht="13">
      <c r="H545" s="226"/>
    </row>
    <row r="546" spans="8:8" ht="13">
      <c r="H546" s="226"/>
    </row>
    <row r="547" spans="8:8" ht="13">
      <c r="H547" s="226"/>
    </row>
    <row r="548" spans="8:8" ht="13">
      <c r="H548" s="226"/>
    </row>
    <row r="549" spans="8:8" ht="13">
      <c r="H549" s="226"/>
    </row>
    <row r="550" spans="8:8" ht="13">
      <c r="H550" s="226"/>
    </row>
    <row r="551" spans="8:8" ht="13">
      <c r="H551" s="226"/>
    </row>
    <row r="552" spans="8:8" ht="13">
      <c r="H552" s="226"/>
    </row>
    <row r="553" spans="8:8" ht="13">
      <c r="H553" s="226"/>
    </row>
    <row r="554" spans="8:8" ht="13">
      <c r="H554" s="226"/>
    </row>
    <row r="555" spans="8:8" ht="13">
      <c r="H555" s="226"/>
    </row>
    <row r="556" spans="8:8" ht="13">
      <c r="H556" s="226"/>
    </row>
    <row r="557" spans="8:8" ht="13">
      <c r="H557" s="226"/>
    </row>
    <row r="558" spans="8:8" ht="13">
      <c r="H558" s="226"/>
    </row>
    <row r="559" spans="8:8" ht="13">
      <c r="H559" s="226"/>
    </row>
    <row r="560" spans="8:8" ht="13">
      <c r="H560" s="226"/>
    </row>
    <row r="561" spans="8:8" ht="13">
      <c r="H561" s="226"/>
    </row>
    <row r="562" spans="8:8" ht="13">
      <c r="H562" s="226"/>
    </row>
    <row r="563" spans="8:8" ht="13">
      <c r="H563" s="226"/>
    </row>
    <row r="564" spans="8:8" ht="13">
      <c r="H564" s="226"/>
    </row>
    <row r="565" spans="8:8" ht="13">
      <c r="H565" s="226"/>
    </row>
    <row r="566" spans="8:8" ht="13">
      <c r="H566" s="226"/>
    </row>
    <row r="567" spans="8:8" ht="13">
      <c r="H567" s="226"/>
    </row>
    <row r="568" spans="8:8" ht="13">
      <c r="H568" s="226"/>
    </row>
    <row r="569" spans="8:8" ht="13">
      <c r="H569" s="226"/>
    </row>
    <row r="570" spans="8:8" ht="13">
      <c r="H570" s="226"/>
    </row>
    <row r="571" spans="8:8" ht="13">
      <c r="H571" s="226"/>
    </row>
    <row r="572" spans="8:8" ht="13">
      <c r="H572" s="226"/>
    </row>
    <row r="573" spans="8:8" ht="13">
      <c r="H573" s="226"/>
    </row>
    <row r="574" spans="8:8" ht="13">
      <c r="H574" s="226"/>
    </row>
    <row r="575" spans="8:8" ht="13">
      <c r="H575" s="226"/>
    </row>
    <row r="576" spans="8:8" ht="13">
      <c r="H576" s="226"/>
    </row>
    <row r="577" spans="8:8" ht="13">
      <c r="H577" s="226"/>
    </row>
    <row r="578" spans="8:8" ht="13">
      <c r="H578" s="226"/>
    </row>
    <row r="579" spans="8:8" ht="13">
      <c r="H579" s="226"/>
    </row>
    <row r="580" spans="8:8" ht="13">
      <c r="H580" s="226"/>
    </row>
    <row r="581" spans="8:8" ht="13">
      <c r="H581" s="226"/>
    </row>
    <row r="582" spans="8:8" ht="13">
      <c r="H582" s="226"/>
    </row>
    <row r="583" spans="8:8" ht="13">
      <c r="H583" s="226"/>
    </row>
    <row r="584" spans="8:8" ht="13">
      <c r="H584" s="226"/>
    </row>
    <row r="585" spans="8:8" ht="13">
      <c r="H585" s="226"/>
    </row>
    <row r="586" spans="8:8" ht="13">
      <c r="H586" s="226"/>
    </row>
    <row r="587" spans="8:8" ht="13">
      <c r="H587" s="226"/>
    </row>
    <row r="588" spans="8:8" ht="13">
      <c r="H588" s="226"/>
    </row>
    <row r="589" spans="8:8" ht="13">
      <c r="H589" s="226"/>
    </row>
    <row r="590" spans="8:8" ht="13">
      <c r="H590" s="226"/>
    </row>
    <row r="591" spans="8:8" ht="13">
      <c r="H591" s="226"/>
    </row>
    <row r="592" spans="8:8" ht="13">
      <c r="H592" s="226"/>
    </row>
    <row r="593" spans="8:8" ht="13">
      <c r="H593" s="226"/>
    </row>
    <row r="594" spans="8:8" ht="13">
      <c r="H594" s="226"/>
    </row>
    <row r="595" spans="8:8" ht="13">
      <c r="H595" s="226"/>
    </row>
    <row r="596" spans="8:8" ht="13">
      <c r="H596" s="226"/>
    </row>
    <row r="597" spans="8:8" ht="13">
      <c r="H597" s="226"/>
    </row>
    <row r="598" spans="8:8" ht="13">
      <c r="H598" s="226"/>
    </row>
    <row r="599" spans="8:8" ht="13">
      <c r="H599" s="226"/>
    </row>
    <row r="600" spans="8:8" ht="13">
      <c r="H600" s="226"/>
    </row>
    <row r="601" spans="8:8" ht="13">
      <c r="H601" s="226"/>
    </row>
    <row r="602" spans="8:8" ht="13">
      <c r="H602" s="226"/>
    </row>
    <row r="603" spans="8:8" ht="13">
      <c r="H603" s="226"/>
    </row>
    <row r="604" spans="8:8" ht="13">
      <c r="H604" s="226"/>
    </row>
    <row r="605" spans="8:8" ht="13">
      <c r="H605" s="226"/>
    </row>
    <row r="606" spans="8:8" ht="13">
      <c r="H606" s="226"/>
    </row>
    <row r="607" spans="8:8" ht="13">
      <c r="H607" s="226"/>
    </row>
    <row r="608" spans="8:8" ht="13">
      <c r="H608" s="226"/>
    </row>
    <row r="609" spans="8:8" ht="13">
      <c r="H609" s="226"/>
    </row>
    <row r="610" spans="8:8" ht="13">
      <c r="H610" s="226"/>
    </row>
    <row r="611" spans="8:8" ht="13">
      <c r="H611" s="226"/>
    </row>
    <row r="612" spans="8:8" ht="13">
      <c r="H612" s="226"/>
    </row>
    <row r="613" spans="8:8" ht="13">
      <c r="H613" s="226"/>
    </row>
    <row r="614" spans="8:8" ht="13">
      <c r="H614" s="226"/>
    </row>
    <row r="615" spans="8:8" ht="13">
      <c r="H615" s="226"/>
    </row>
    <row r="616" spans="8:8" ht="13">
      <c r="H616" s="226"/>
    </row>
    <row r="617" spans="8:8" ht="13">
      <c r="H617" s="226"/>
    </row>
    <row r="618" spans="8:8" ht="13">
      <c r="H618" s="226"/>
    </row>
    <row r="619" spans="8:8" ht="13">
      <c r="H619" s="226"/>
    </row>
    <row r="620" spans="8:8" ht="13">
      <c r="H620" s="226"/>
    </row>
    <row r="621" spans="8:8" ht="13">
      <c r="H621" s="226"/>
    </row>
    <row r="622" spans="8:8" ht="13">
      <c r="H622" s="226"/>
    </row>
    <row r="623" spans="8:8" ht="13">
      <c r="H623" s="226"/>
    </row>
    <row r="624" spans="8:8" ht="13">
      <c r="H624" s="226"/>
    </row>
    <row r="625" spans="8:8" ht="13">
      <c r="H625" s="226"/>
    </row>
    <row r="626" spans="8:8" ht="13">
      <c r="H626" s="226"/>
    </row>
    <row r="627" spans="8:8" ht="13">
      <c r="H627" s="226"/>
    </row>
    <row r="628" spans="8:8" ht="13">
      <c r="H628" s="226"/>
    </row>
    <row r="629" spans="8:8" ht="13">
      <c r="H629" s="226"/>
    </row>
    <row r="630" spans="8:8" ht="13">
      <c r="H630" s="226"/>
    </row>
    <row r="631" spans="8:8" ht="13">
      <c r="H631" s="226"/>
    </row>
    <row r="632" spans="8:8" ht="13">
      <c r="H632" s="226"/>
    </row>
    <row r="633" spans="8:8" ht="13">
      <c r="H633" s="226"/>
    </row>
    <row r="634" spans="8:8" ht="13">
      <c r="H634" s="226"/>
    </row>
    <row r="635" spans="8:8" ht="13">
      <c r="H635" s="226"/>
    </row>
    <row r="636" spans="8:8" ht="13">
      <c r="H636" s="226"/>
    </row>
    <row r="637" spans="8:8" ht="13">
      <c r="H637" s="226"/>
    </row>
    <row r="638" spans="8:8" ht="13">
      <c r="H638" s="226"/>
    </row>
    <row r="639" spans="8:8" ht="13">
      <c r="H639" s="226"/>
    </row>
    <row r="640" spans="8:8" ht="13">
      <c r="H640" s="226"/>
    </row>
    <row r="641" spans="8:8" ht="13">
      <c r="H641" s="226"/>
    </row>
    <row r="642" spans="8:8" ht="13">
      <c r="H642" s="226"/>
    </row>
    <row r="643" spans="8:8" ht="13">
      <c r="H643" s="226"/>
    </row>
    <row r="644" spans="8:8" ht="13">
      <c r="H644" s="226"/>
    </row>
    <row r="645" spans="8:8" ht="13">
      <c r="H645" s="226"/>
    </row>
    <row r="646" spans="8:8" ht="13">
      <c r="H646" s="226"/>
    </row>
    <row r="647" spans="8:8" ht="13">
      <c r="H647" s="226"/>
    </row>
    <row r="648" spans="8:8" ht="13">
      <c r="H648" s="226"/>
    </row>
    <row r="649" spans="8:8" ht="13">
      <c r="H649" s="226"/>
    </row>
    <row r="650" spans="8:8" ht="13">
      <c r="H650" s="226"/>
    </row>
    <row r="651" spans="8:8" ht="13">
      <c r="H651" s="226"/>
    </row>
    <row r="652" spans="8:8" ht="13">
      <c r="H652" s="226"/>
    </row>
    <row r="653" spans="8:8" ht="13">
      <c r="H653" s="226"/>
    </row>
    <row r="654" spans="8:8" ht="13">
      <c r="H654" s="226"/>
    </row>
    <row r="655" spans="8:8" ht="13">
      <c r="H655" s="226"/>
    </row>
    <row r="656" spans="8:8" ht="13">
      <c r="H656" s="226"/>
    </row>
    <row r="657" spans="8:8" ht="13">
      <c r="H657" s="226"/>
    </row>
    <row r="658" spans="8:8" ht="13">
      <c r="H658" s="226"/>
    </row>
    <row r="659" spans="8:8" ht="13">
      <c r="H659" s="226"/>
    </row>
    <row r="660" spans="8:8" ht="13">
      <c r="H660" s="226"/>
    </row>
    <row r="661" spans="8:8" ht="13">
      <c r="H661" s="226"/>
    </row>
    <row r="662" spans="8:8" ht="13">
      <c r="H662" s="226"/>
    </row>
    <row r="663" spans="8:8" ht="13">
      <c r="H663" s="226"/>
    </row>
    <row r="664" spans="8:8" ht="13">
      <c r="H664" s="226"/>
    </row>
    <row r="665" spans="8:8" ht="13">
      <c r="H665" s="226"/>
    </row>
    <row r="666" spans="8:8" ht="13">
      <c r="H666" s="226"/>
    </row>
    <row r="667" spans="8:8" ht="13">
      <c r="H667" s="226"/>
    </row>
    <row r="668" spans="8:8" ht="13">
      <c r="H668" s="226"/>
    </row>
    <row r="669" spans="8:8" ht="13">
      <c r="H669" s="226"/>
    </row>
    <row r="670" spans="8:8" ht="13">
      <c r="H670" s="226"/>
    </row>
    <row r="671" spans="8:8" ht="13">
      <c r="H671" s="226"/>
    </row>
    <row r="672" spans="8:8" ht="13">
      <c r="H672" s="226"/>
    </row>
    <row r="673" spans="8:8" ht="13">
      <c r="H673" s="226"/>
    </row>
    <row r="674" spans="8:8" ht="13">
      <c r="H674" s="226"/>
    </row>
    <row r="675" spans="8:8" ht="13">
      <c r="H675" s="226"/>
    </row>
    <row r="676" spans="8:8" ht="13">
      <c r="H676" s="226"/>
    </row>
    <row r="677" spans="8:8" ht="13">
      <c r="H677" s="226"/>
    </row>
    <row r="678" spans="8:8" ht="13">
      <c r="H678" s="226"/>
    </row>
    <row r="679" spans="8:8" ht="13">
      <c r="H679" s="226"/>
    </row>
    <row r="680" spans="8:8" ht="13">
      <c r="H680" s="226"/>
    </row>
    <row r="681" spans="8:8" ht="13">
      <c r="H681" s="226"/>
    </row>
    <row r="682" spans="8:8" ht="13">
      <c r="H682" s="226"/>
    </row>
    <row r="683" spans="8:8" ht="13">
      <c r="H683" s="226"/>
    </row>
    <row r="684" spans="8:8" ht="13">
      <c r="H684" s="226"/>
    </row>
    <row r="685" spans="8:8" ht="13">
      <c r="H685" s="226"/>
    </row>
    <row r="686" spans="8:8" ht="13">
      <c r="H686" s="226"/>
    </row>
    <row r="687" spans="8:8" ht="13">
      <c r="H687" s="226"/>
    </row>
    <row r="688" spans="8:8" ht="13">
      <c r="H688" s="226"/>
    </row>
    <row r="689" spans="8:8" ht="13">
      <c r="H689" s="226"/>
    </row>
    <row r="690" spans="8:8" ht="13">
      <c r="H690" s="226"/>
    </row>
    <row r="691" spans="8:8" ht="13">
      <c r="H691" s="226"/>
    </row>
    <row r="692" spans="8:8" ht="13">
      <c r="H692" s="226"/>
    </row>
    <row r="693" spans="8:8" ht="13">
      <c r="H693" s="226"/>
    </row>
    <row r="694" spans="8:8" ht="13">
      <c r="H694" s="226"/>
    </row>
    <row r="695" spans="8:8" ht="13">
      <c r="H695" s="226"/>
    </row>
    <row r="696" spans="8:8" ht="13">
      <c r="H696" s="226"/>
    </row>
    <row r="697" spans="8:8" ht="13">
      <c r="H697" s="226"/>
    </row>
    <row r="698" spans="8:8" ht="13">
      <c r="H698" s="226"/>
    </row>
    <row r="699" spans="8:8" ht="13">
      <c r="H699" s="226"/>
    </row>
    <row r="700" spans="8:8" ht="13">
      <c r="H700" s="226"/>
    </row>
    <row r="701" spans="8:8" ht="13">
      <c r="H701" s="226"/>
    </row>
    <row r="702" spans="8:8" ht="13">
      <c r="H702" s="226"/>
    </row>
    <row r="703" spans="8:8" ht="13">
      <c r="H703" s="226"/>
    </row>
    <row r="704" spans="8:8" ht="13">
      <c r="H704" s="226"/>
    </row>
    <row r="705" spans="8:8" ht="13">
      <c r="H705" s="226"/>
    </row>
    <row r="706" spans="8:8" ht="13">
      <c r="H706" s="226"/>
    </row>
    <row r="707" spans="8:8" ht="13">
      <c r="H707" s="226"/>
    </row>
    <row r="708" spans="8:8" ht="13">
      <c r="H708" s="226"/>
    </row>
    <row r="709" spans="8:8" ht="13">
      <c r="H709" s="226"/>
    </row>
    <row r="710" spans="8:8" ht="13">
      <c r="H710" s="226"/>
    </row>
    <row r="711" spans="8:8" ht="13">
      <c r="H711" s="226"/>
    </row>
    <row r="712" spans="8:8" ht="13">
      <c r="H712" s="226"/>
    </row>
    <row r="713" spans="8:8" ht="13">
      <c r="H713" s="226"/>
    </row>
    <row r="714" spans="8:8" ht="13">
      <c r="H714" s="226"/>
    </row>
    <row r="715" spans="8:8" ht="13">
      <c r="H715" s="226"/>
    </row>
    <row r="716" spans="8:8" ht="13">
      <c r="H716" s="226"/>
    </row>
    <row r="717" spans="8:8" ht="13">
      <c r="H717" s="226"/>
    </row>
    <row r="718" spans="8:8" ht="13">
      <c r="H718" s="226"/>
    </row>
    <row r="719" spans="8:8" ht="13">
      <c r="H719" s="226"/>
    </row>
    <row r="720" spans="8:8" ht="13">
      <c r="H720" s="226"/>
    </row>
    <row r="721" spans="8:8" ht="13">
      <c r="H721" s="226"/>
    </row>
    <row r="722" spans="8:8" ht="13">
      <c r="H722" s="226"/>
    </row>
    <row r="723" spans="8:8" ht="13">
      <c r="H723" s="226"/>
    </row>
    <row r="724" spans="8:8" ht="13">
      <c r="H724" s="226"/>
    </row>
    <row r="725" spans="8:8" ht="13">
      <c r="H725" s="226"/>
    </row>
    <row r="726" spans="8:8" ht="13">
      <c r="H726" s="226"/>
    </row>
    <row r="727" spans="8:8" ht="13">
      <c r="H727" s="226"/>
    </row>
    <row r="728" spans="8:8" ht="13">
      <c r="H728" s="226"/>
    </row>
    <row r="729" spans="8:8" ht="13">
      <c r="H729" s="226"/>
    </row>
    <row r="730" spans="8:8" ht="13">
      <c r="H730" s="226"/>
    </row>
    <row r="731" spans="8:8" ht="13">
      <c r="H731" s="226"/>
    </row>
    <row r="732" spans="8:8" ht="13">
      <c r="H732" s="226"/>
    </row>
    <row r="733" spans="8:8" ht="13">
      <c r="H733" s="226"/>
    </row>
    <row r="734" spans="8:8" ht="13">
      <c r="H734" s="226"/>
    </row>
    <row r="735" spans="8:8" ht="13">
      <c r="H735" s="226"/>
    </row>
    <row r="736" spans="8:8" ht="13">
      <c r="H736" s="226"/>
    </row>
    <row r="737" spans="8:8" ht="13">
      <c r="H737" s="226"/>
    </row>
    <row r="738" spans="8:8" ht="13">
      <c r="H738" s="226"/>
    </row>
    <row r="739" spans="8:8" ht="13">
      <c r="H739" s="226"/>
    </row>
    <row r="740" spans="8:8" ht="13">
      <c r="H740" s="226"/>
    </row>
    <row r="741" spans="8:8" ht="13">
      <c r="H741" s="226"/>
    </row>
    <row r="742" spans="8:8" ht="13">
      <c r="H742" s="226"/>
    </row>
    <row r="743" spans="8:8" ht="13">
      <c r="H743" s="226"/>
    </row>
    <row r="744" spans="8:8" ht="13">
      <c r="H744" s="226"/>
    </row>
    <row r="745" spans="8:8" ht="13">
      <c r="H745" s="226"/>
    </row>
    <row r="746" spans="8:8" ht="13">
      <c r="H746" s="226"/>
    </row>
    <row r="747" spans="8:8" ht="13">
      <c r="H747" s="226"/>
    </row>
    <row r="748" spans="8:8" ht="13">
      <c r="H748" s="226"/>
    </row>
    <row r="749" spans="8:8" ht="13">
      <c r="H749" s="226"/>
    </row>
    <row r="750" spans="8:8" ht="13">
      <c r="H750" s="226"/>
    </row>
    <row r="751" spans="8:8" ht="13">
      <c r="H751" s="226"/>
    </row>
    <row r="752" spans="8:8" ht="13">
      <c r="H752" s="226"/>
    </row>
    <row r="753" spans="8:8" ht="13">
      <c r="H753" s="226"/>
    </row>
    <row r="754" spans="8:8" ht="13">
      <c r="H754" s="226"/>
    </row>
    <row r="755" spans="8:8" ht="13">
      <c r="H755" s="226"/>
    </row>
    <row r="756" spans="8:8" ht="13">
      <c r="H756" s="226"/>
    </row>
    <row r="757" spans="8:8" ht="13">
      <c r="H757" s="226"/>
    </row>
    <row r="758" spans="8:8" ht="13">
      <c r="H758" s="226"/>
    </row>
    <row r="759" spans="8:8" ht="13">
      <c r="H759" s="226"/>
    </row>
    <row r="760" spans="8:8" ht="13">
      <c r="H760" s="226"/>
    </row>
    <row r="761" spans="8:8" ht="13">
      <c r="H761" s="226"/>
    </row>
    <row r="762" spans="8:8" ht="13">
      <c r="H762" s="226"/>
    </row>
    <row r="763" spans="8:8" ht="13">
      <c r="H763" s="226"/>
    </row>
    <row r="764" spans="8:8" ht="13">
      <c r="H764" s="226"/>
    </row>
    <row r="765" spans="8:8" ht="13">
      <c r="H765" s="226"/>
    </row>
    <row r="766" spans="8:8" ht="13">
      <c r="H766" s="226"/>
    </row>
    <row r="767" spans="8:8" ht="13">
      <c r="H767" s="226"/>
    </row>
    <row r="768" spans="8:8" ht="13">
      <c r="H768" s="226"/>
    </row>
    <row r="769" spans="8:8" ht="13">
      <c r="H769" s="226"/>
    </row>
    <row r="770" spans="8:8" ht="13">
      <c r="H770" s="226"/>
    </row>
    <row r="771" spans="8:8" ht="13">
      <c r="H771" s="226"/>
    </row>
    <row r="772" spans="8:8" ht="13">
      <c r="H772" s="226"/>
    </row>
    <row r="773" spans="8:8" ht="13">
      <c r="H773" s="226"/>
    </row>
    <row r="774" spans="8:8" ht="13">
      <c r="H774" s="226"/>
    </row>
    <row r="775" spans="8:8" ht="13">
      <c r="H775" s="226"/>
    </row>
    <row r="776" spans="8:8" ht="13">
      <c r="H776" s="226"/>
    </row>
    <row r="777" spans="8:8" ht="13">
      <c r="H777" s="226"/>
    </row>
    <row r="778" spans="8:8" ht="13">
      <c r="H778" s="226"/>
    </row>
    <row r="779" spans="8:8" ht="13">
      <c r="H779" s="226"/>
    </row>
    <row r="780" spans="8:8" ht="13">
      <c r="H780" s="226"/>
    </row>
    <row r="781" spans="8:8" ht="13">
      <c r="H781" s="226"/>
    </row>
    <row r="782" spans="8:8" ht="13">
      <c r="H782" s="226"/>
    </row>
    <row r="783" spans="8:8" ht="13">
      <c r="H783" s="226"/>
    </row>
    <row r="784" spans="8:8" ht="13">
      <c r="H784" s="226"/>
    </row>
    <row r="785" spans="8:8" ht="13">
      <c r="H785" s="226"/>
    </row>
    <row r="786" spans="8:8" ht="13">
      <c r="H786" s="226"/>
    </row>
    <row r="787" spans="8:8" ht="13">
      <c r="H787" s="226"/>
    </row>
    <row r="788" spans="8:8" ht="13">
      <c r="H788" s="226"/>
    </row>
    <row r="789" spans="8:8" ht="13">
      <c r="H789" s="226"/>
    </row>
    <row r="790" spans="8:8" ht="13">
      <c r="H790" s="226"/>
    </row>
    <row r="791" spans="8:8" ht="13">
      <c r="H791" s="226"/>
    </row>
    <row r="792" spans="8:8" ht="13">
      <c r="H792" s="226"/>
    </row>
    <row r="793" spans="8:8" ht="13">
      <c r="H793" s="226"/>
    </row>
    <row r="794" spans="8:8" ht="13">
      <c r="H794" s="226"/>
    </row>
    <row r="795" spans="8:8" ht="13">
      <c r="H795" s="226"/>
    </row>
    <row r="796" spans="8:8" ht="13">
      <c r="H796" s="226"/>
    </row>
    <row r="797" spans="8:8" ht="13">
      <c r="H797" s="226"/>
    </row>
    <row r="798" spans="8:8" ht="13">
      <c r="H798" s="226"/>
    </row>
    <row r="799" spans="8:8" ht="13">
      <c r="H799" s="226"/>
    </row>
    <row r="800" spans="8:8" ht="13">
      <c r="H800" s="226"/>
    </row>
    <row r="801" spans="8:8" ht="13">
      <c r="H801" s="226"/>
    </row>
    <row r="802" spans="8:8" ht="13">
      <c r="H802" s="226"/>
    </row>
    <row r="803" spans="8:8" ht="13">
      <c r="H803" s="226"/>
    </row>
    <row r="804" spans="8:8" ht="13">
      <c r="H804" s="226"/>
    </row>
    <row r="805" spans="8:8" ht="13">
      <c r="H805" s="226"/>
    </row>
    <row r="806" spans="8:8" ht="13">
      <c r="H806" s="226"/>
    </row>
    <row r="807" spans="8:8" ht="13">
      <c r="H807" s="226"/>
    </row>
    <row r="808" spans="8:8" ht="13">
      <c r="H808" s="226"/>
    </row>
    <row r="809" spans="8:8" ht="13">
      <c r="H809" s="226"/>
    </row>
    <row r="810" spans="8:8" ht="13">
      <c r="H810" s="226"/>
    </row>
    <row r="811" spans="8:8" ht="13">
      <c r="H811" s="226"/>
    </row>
    <row r="812" spans="8:8" ht="13">
      <c r="H812" s="226"/>
    </row>
    <row r="813" spans="8:8" ht="13">
      <c r="H813" s="226"/>
    </row>
    <row r="814" spans="8:8" ht="13">
      <c r="H814" s="226"/>
    </row>
    <row r="815" spans="8:8" ht="13">
      <c r="H815" s="226"/>
    </row>
    <row r="816" spans="8:8" ht="13">
      <c r="H816" s="226"/>
    </row>
    <row r="817" spans="8:8" ht="13">
      <c r="H817" s="226"/>
    </row>
    <row r="818" spans="8:8" ht="13">
      <c r="H818" s="226"/>
    </row>
    <row r="819" spans="8:8" ht="13">
      <c r="H819" s="226"/>
    </row>
    <row r="820" spans="8:8" ht="13">
      <c r="H820" s="226"/>
    </row>
    <row r="821" spans="8:8" ht="13">
      <c r="H821" s="226"/>
    </row>
    <row r="822" spans="8:8" ht="13">
      <c r="H822" s="226"/>
    </row>
    <row r="823" spans="8:8" ht="13">
      <c r="H823" s="226"/>
    </row>
    <row r="824" spans="8:8" ht="13">
      <c r="H824" s="226"/>
    </row>
    <row r="825" spans="8:8" ht="13">
      <c r="H825" s="226"/>
    </row>
    <row r="826" spans="8:8" ht="13">
      <c r="H826" s="226"/>
    </row>
    <row r="827" spans="8:8" ht="13">
      <c r="H827" s="226"/>
    </row>
    <row r="828" spans="8:8" ht="13">
      <c r="H828" s="226"/>
    </row>
    <row r="829" spans="8:8" ht="13">
      <c r="H829" s="226"/>
    </row>
    <row r="830" spans="8:8" ht="13">
      <c r="H830" s="226"/>
    </row>
    <row r="831" spans="8:8" ht="13">
      <c r="H831" s="226"/>
    </row>
    <row r="832" spans="8:8" ht="13">
      <c r="H832" s="226"/>
    </row>
    <row r="833" spans="8:8" ht="13">
      <c r="H833" s="226"/>
    </row>
    <row r="834" spans="8:8" ht="13">
      <c r="H834" s="226"/>
    </row>
    <row r="835" spans="8:8" ht="13">
      <c r="H835" s="226"/>
    </row>
    <row r="836" spans="8:8" ht="13">
      <c r="H836" s="226"/>
    </row>
    <row r="837" spans="8:8" ht="13">
      <c r="H837" s="226"/>
    </row>
    <row r="838" spans="8:8" ht="13">
      <c r="H838" s="226"/>
    </row>
    <row r="839" spans="8:8" ht="13">
      <c r="H839" s="226"/>
    </row>
    <row r="840" spans="8:8" ht="13">
      <c r="H840" s="226"/>
    </row>
    <row r="841" spans="8:8" ht="13">
      <c r="H841" s="226"/>
    </row>
    <row r="842" spans="8:8" ht="13">
      <c r="H842" s="226"/>
    </row>
    <row r="843" spans="8:8" ht="13">
      <c r="H843" s="226"/>
    </row>
    <row r="844" spans="8:8" ht="13">
      <c r="H844" s="226"/>
    </row>
    <row r="845" spans="8:8" ht="13">
      <c r="H845" s="226"/>
    </row>
    <row r="846" spans="8:8" ht="13">
      <c r="H846" s="226"/>
    </row>
    <row r="847" spans="8:8" ht="13">
      <c r="H847" s="226"/>
    </row>
    <row r="848" spans="8:8" ht="13">
      <c r="H848" s="226"/>
    </row>
    <row r="849" spans="8:8" ht="13">
      <c r="H849" s="226"/>
    </row>
    <row r="850" spans="8:8" ht="13">
      <c r="H850" s="226"/>
    </row>
    <row r="851" spans="8:8" ht="13">
      <c r="H851" s="226"/>
    </row>
    <row r="852" spans="8:8" ht="13">
      <c r="H852" s="226"/>
    </row>
    <row r="853" spans="8:8" ht="13">
      <c r="H853" s="226"/>
    </row>
    <row r="854" spans="8:8" ht="13">
      <c r="H854" s="226"/>
    </row>
    <row r="855" spans="8:8" ht="13">
      <c r="H855" s="226"/>
    </row>
    <row r="856" spans="8:8" ht="13">
      <c r="H856" s="226"/>
    </row>
    <row r="857" spans="8:8" ht="13">
      <c r="H857" s="226"/>
    </row>
    <row r="858" spans="8:8" ht="13">
      <c r="H858" s="226"/>
    </row>
    <row r="859" spans="8:8" ht="13">
      <c r="H859" s="226"/>
    </row>
    <row r="860" spans="8:8" ht="13">
      <c r="H860" s="226"/>
    </row>
    <row r="861" spans="8:8" ht="13">
      <c r="H861" s="226"/>
    </row>
    <row r="862" spans="8:8" ht="13">
      <c r="H862" s="226"/>
    </row>
    <row r="863" spans="8:8" ht="13">
      <c r="H863" s="226"/>
    </row>
    <row r="864" spans="8:8" ht="13">
      <c r="H864" s="226"/>
    </row>
    <row r="865" spans="8:8" ht="13">
      <c r="H865" s="226"/>
    </row>
    <row r="866" spans="8:8" ht="13">
      <c r="H866" s="226"/>
    </row>
    <row r="867" spans="8:8" ht="13">
      <c r="H867" s="226"/>
    </row>
    <row r="868" spans="8:8" ht="13">
      <c r="H868" s="226"/>
    </row>
    <row r="869" spans="8:8" ht="13">
      <c r="H869" s="226"/>
    </row>
    <row r="870" spans="8:8" ht="13">
      <c r="H870" s="226"/>
    </row>
    <row r="871" spans="8:8" ht="13">
      <c r="H871" s="226"/>
    </row>
    <row r="872" spans="8:8" ht="13">
      <c r="H872" s="226"/>
    </row>
    <row r="873" spans="8:8" ht="13">
      <c r="H873" s="226"/>
    </row>
    <row r="874" spans="8:8" ht="13">
      <c r="H874" s="226"/>
    </row>
    <row r="875" spans="8:8" ht="13">
      <c r="H875" s="226"/>
    </row>
    <row r="876" spans="8:8" ht="13">
      <c r="H876" s="226"/>
    </row>
    <row r="877" spans="8:8" ht="13">
      <c r="H877" s="226"/>
    </row>
    <row r="878" spans="8:8" ht="13">
      <c r="H878" s="226"/>
    </row>
    <row r="879" spans="8:8" ht="13">
      <c r="H879" s="226"/>
    </row>
    <row r="880" spans="8:8" ht="13">
      <c r="H880" s="226"/>
    </row>
    <row r="881" spans="8:8" ht="13">
      <c r="H881" s="226"/>
    </row>
    <row r="882" spans="8:8" ht="13">
      <c r="H882" s="226"/>
    </row>
    <row r="883" spans="8:8" ht="13">
      <c r="H883" s="226"/>
    </row>
    <row r="884" spans="8:8" ht="13">
      <c r="H884" s="226"/>
    </row>
    <row r="885" spans="8:8" ht="13">
      <c r="H885" s="226"/>
    </row>
    <row r="886" spans="8:8" ht="13">
      <c r="H886" s="226"/>
    </row>
    <row r="887" spans="8:8" ht="13">
      <c r="H887" s="226"/>
    </row>
    <row r="888" spans="8:8" ht="13">
      <c r="H888" s="226"/>
    </row>
    <row r="889" spans="8:8" ht="13">
      <c r="H889" s="226"/>
    </row>
    <row r="890" spans="8:8" ht="13">
      <c r="H890" s="226"/>
    </row>
    <row r="891" spans="8:8" ht="13">
      <c r="H891" s="226"/>
    </row>
    <row r="892" spans="8:8" ht="13">
      <c r="H892" s="226"/>
    </row>
    <row r="893" spans="8:8" ht="13">
      <c r="H893" s="226"/>
    </row>
    <row r="894" spans="8:8" ht="13">
      <c r="H894" s="226"/>
    </row>
    <row r="895" spans="8:8" ht="13">
      <c r="H895" s="226"/>
    </row>
    <row r="896" spans="8:8" ht="13">
      <c r="H896" s="226"/>
    </row>
    <row r="897" spans="8:8" ht="13">
      <c r="H897" s="226"/>
    </row>
    <row r="898" spans="8:8" ht="13">
      <c r="H898" s="226"/>
    </row>
    <row r="899" spans="8:8" ht="13">
      <c r="H899" s="226"/>
    </row>
    <row r="900" spans="8:8" ht="13">
      <c r="H900" s="226"/>
    </row>
    <row r="901" spans="8:8" ht="13">
      <c r="H901" s="226"/>
    </row>
    <row r="902" spans="8:8" ht="13">
      <c r="H902" s="226"/>
    </row>
    <row r="903" spans="8:8" ht="13">
      <c r="H903" s="226"/>
    </row>
    <row r="904" spans="8:8" ht="13">
      <c r="H904" s="226"/>
    </row>
    <row r="905" spans="8:8" ht="13">
      <c r="H905" s="226"/>
    </row>
    <row r="906" spans="8:8" ht="13">
      <c r="H906" s="226"/>
    </row>
    <row r="907" spans="8:8" ht="13">
      <c r="H907" s="226"/>
    </row>
    <row r="908" spans="8:8" ht="13">
      <c r="H908" s="226"/>
    </row>
    <row r="909" spans="8:8" ht="13">
      <c r="H909" s="226"/>
    </row>
    <row r="910" spans="8:8" ht="13">
      <c r="H910" s="226"/>
    </row>
    <row r="911" spans="8:8" ht="13">
      <c r="H911" s="226"/>
    </row>
    <row r="912" spans="8:8" ht="13">
      <c r="H912" s="226"/>
    </row>
    <row r="913" spans="8:8" ht="13">
      <c r="H913" s="226"/>
    </row>
    <row r="914" spans="8:8" ht="13">
      <c r="H914" s="226"/>
    </row>
    <row r="915" spans="8:8" ht="13">
      <c r="H915" s="226"/>
    </row>
    <row r="916" spans="8:8" ht="13">
      <c r="H916" s="226"/>
    </row>
    <row r="917" spans="8:8" ht="13">
      <c r="H917" s="226"/>
    </row>
    <row r="918" spans="8:8" ht="13">
      <c r="H918" s="226"/>
    </row>
    <row r="919" spans="8:8" ht="13">
      <c r="H919" s="226"/>
    </row>
    <row r="920" spans="8:8" ht="13">
      <c r="H920" s="226"/>
    </row>
    <row r="921" spans="8:8" ht="13">
      <c r="H921" s="226"/>
    </row>
    <row r="922" spans="8:8" ht="13">
      <c r="H922" s="226"/>
    </row>
    <row r="923" spans="8:8" ht="13">
      <c r="H923" s="226"/>
    </row>
    <row r="924" spans="8:8" ht="13">
      <c r="H924" s="226"/>
    </row>
    <row r="925" spans="8:8" ht="13">
      <c r="H925" s="226"/>
    </row>
    <row r="926" spans="8:8" ht="13">
      <c r="H926" s="226"/>
    </row>
    <row r="927" spans="8:8" ht="13">
      <c r="H927" s="226"/>
    </row>
    <row r="928" spans="8:8" ht="13">
      <c r="H928" s="226"/>
    </row>
    <row r="929" spans="8:8" ht="13">
      <c r="H929" s="226"/>
    </row>
    <row r="930" spans="8:8" ht="13">
      <c r="H930" s="226"/>
    </row>
    <row r="931" spans="8:8" ht="13">
      <c r="H931" s="226"/>
    </row>
    <row r="932" spans="8:8" ht="13">
      <c r="H932" s="226"/>
    </row>
    <row r="933" spans="8:8" ht="13">
      <c r="H933" s="226"/>
    </row>
    <row r="934" spans="8:8" ht="13">
      <c r="H934" s="226"/>
    </row>
    <row r="935" spans="8:8" ht="13">
      <c r="H935" s="226"/>
    </row>
    <row r="936" spans="8:8" ht="13">
      <c r="H936" s="226"/>
    </row>
    <row r="937" spans="8:8" ht="13">
      <c r="H937" s="226"/>
    </row>
    <row r="938" spans="8:8" ht="13">
      <c r="H938" s="226"/>
    </row>
    <row r="939" spans="8:8" ht="13">
      <c r="H939" s="226"/>
    </row>
    <row r="940" spans="8:8" ht="13">
      <c r="H940" s="226"/>
    </row>
    <row r="941" spans="8:8" ht="13">
      <c r="H941" s="226"/>
    </row>
    <row r="942" spans="8:8" ht="13">
      <c r="H942" s="226"/>
    </row>
    <row r="943" spans="8:8" ht="13">
      <c r="H943" s="226"/>
    </row>
    <row r="944" spans="8:8" ht="13">
      <c r="H944" s="226"/>
    </row>
    <row r="945" spans="8:8" ht="13">
      <c r="H945" s="226"/>
    </row>
    <row r="946" spans="8:8" ht="13">
      <c r="H946" s="226"/>
    </row>
    <row r="947" spans="8:8" ht="13">
      <c r="H947" s="226"/>
    </row>
    <row r="948" spans="8:8" ht="13">
      <c r="H948" s="226"/>
    </row>
    <row r="949" spans="8:8" ht="13">
      <c r="H949" s="226"/>
    </row>
    <row r="950" spans="8:8" ht="13">
      <c r="H950" s="226"/>
    </row>
    <row r="951" spans="8:8" ht="13">
      <c r="H951" s="226"/>
    </row>
    <row r="952" spans="8:8" ht="13">
      <c r="H952" s="226"/>
    </row>
    <row r="953" spans="8:8" ht="13">
      <c r="H953" s="226"/>
    </row>
    <row r="954" spans="8:8" ht="13">
      <c r="H954" s="226"/>
    </row>
    <row r="955" spans="8:8" ht="13">
      <c r="H955" s="226"/>
    </row>
    <row r="956" spans="8:8" ht="13">
      <c r="H956" s="226"/>
    </row>
    <row r="957" spans="8:8" ht="13">
      <c r="H957" s="226"/>
    </row>
    <row r="958" spans="8:8" ht="13">
      <c r="H958" s="226"/>
    </row>
    <row r="959" spans="8:8" ht="13">
      <c r="H959" s="226"/>
    </row>
    <row r="960" spans="8:8" ht="13">
      <c r="H960" s="226"/>
    </row>
    <row r="961" spans="8:8" ht="13">
      <c r="H961" s="226"/>
    </row>
    <row r="962" spans="8:8" ht="13">
      <c r="H962" s="226"/>
    </row>
    <row r="963" spans="8:8" ht="13">
      <c r="H963" s="226"/>
    </row>
    <row r="964" spans="8:8" ht="13">
      <c r="H964" s="226"/>
    </row>
    <row r="965" spans="8:8" ht="13">
      <c r="H965" s="226"/>
    </row>
    <row r="966" spans="8:8" ht="13">
      <c r="H966" s="226"/>
    </row>
    <row r="967" spans="8:8" ht="13">
      <c r="H967" s="226"/>
    </row>
    <row r="968" spans="8:8" ht="13">
      <c r="H968" s="226"/>
    </row>
    <row r="969" spans="8:8" ht="13">
      <c r="H969" s="226"/>
    </row>
    <row r="970" spans="8:8" ht="13">
      <c r="H970" s="226"/>
    </row>
    <row r="971" spans="8:8" ht="13">
      <c r="H971" s="226"/>
    </row>
    <row r="972" spans="8:8" ht="13">
      <c r="H972" s="226"/>
    </row>
    <row r="973" spans="8:8" ht="13">
      <c r="H973" s="226"/>
    </row>
    <row r="974" spans="8:8" ht="13">
      <c r="H974" s="226"/>
    </row>
    <row r="975" spans="8:8" ht="13">
      <c r="H975" s="226"/>
    </row>
    <row r="976" spans="8:8" ht="13">
      <c r="H976" s="226"/>
    </row>
    <row r="977" spans="8:8" ht="13">
      <c r="H977" s="226"/>
    </row>
    <row r="978" spans="8:8" ht="13">
      <c r="H978" s="226"/>
    </row>
    <row r="979" spans="8:8" ht="13">
      <c r="H979" s="226"/>
    </row>
    <row r="980" spans="8:8" ht="13">
      <c r="H980" s="226"/>
    </row>
    <row r="981" spans="8:8" ht="13">
      <c r="H981" s="226"/>
    </row>
    <row r="982" spans="8:8" ht="13">
      <c r="H982" s="226"/>
    </row>
    <row r="983" spans="8:8" ht="13">
      <c r="H983" s="226"/>
    </row>
    <row r="984" spans="8:8" ht="13">
      <c r="H984" s="226"/>
    </row>
    <row r="985" spans="8:8" ht="13">
      <c r="H985" s="226"/>
    </row>
    <row r="986" spans="8:8" ht="13">
      <c r="H986" s="226"/>
    </row>
    <row r="987" spans="8:8" ht="13">
      <c r="H987" s="226"/>
    </row>
    <row r="988" spans="8:8" ht="13">
      <c r="H988" s="226"/>
    </row>
    <row r="989" spans="8:8" ht="13">
      <c r="H989" s="226"/>
    </row>
    <row r="990" spans="8:8" ht="13">
      <c r="H990" s="226"/>
    </row>
    <row r="991" spans="8:8" ht="13">
      <c r="H991" s="226"/>
    </row>
    <row r="992" spans="8:8" ht="13">
      <c r="H992" s="226"/>
    </row>
    <row r="993" spans="8:8" ht="13">
      <c r="H993" s="226"/>
    </row>
    <row r="994" spans="8:8" ht="13">
      <c r="H994" s="226"/>
    </row>
    <row r="995" spans="8:8" ht="13">
      <c r="H995" s="226"/>
    </row>
    <row r="996" spans="8:8" ht="13">
      <c r="H996" s="226"/>
    </row>
    <row r="997" spans="8:8" ht="13">
      <c r="H997" s="226"/>
    </row>
    <row r="998" spans="8:8" ht="13">
      <c r="H998" s="226"/>
    </row>
    <row r="999" spans="8:8" ht="13">
      <c r="H999" s="226"/>
    </row>
    <row r="1000" spans="8:8" ht="13">
      <c r="H1000" s="226"/>
    </row>
    <row r="1001" spans="8:8" ht="13">
      <c r="H1001" s="226"/>
    </row>
    <row r="1002" spans="8:8" ht="13">
      <c r="H1002" s="226"/>
    </row>
    <row r="1003" spans="8:8" ht="13">
      <c r="H1003" s="226"/>
    </row>
    <row r="1004" spans="8:8" ht="13">
      <c r="H1004" s="226"/>
    </row>
    <row r="1005" spans="8:8" ht="13">
      <c r="H1005" s="226"/>
    </row>
    <row r="1006" spans="8:8" ht="13">
      <c r="H1006" s="226"/>
    </row>
    <row r="1007" spans="8:8" ht="13">
      <c r="H1007" s="226"/>
    </row>
    <row r="1008" spans="8:8" ht="13">
      <c r="H1008" s="226"/>
    </row>
    <row r="1009" spans="8:8" ht="13">
      <c r="H1009" s="226"/>
    </row>
    <row r="1010" spans="8:8" ht="13">
      <c r="H1010" s="226"/>
    </row>
    <row r="1011" spans="8:8" ht="13">
      <c r="H1011" s="226"/>
    </row>
    <row r="1012" spans="8:8" ht="13">
      <c r="H1012" s="226"/>
    </row>
    <row r="1013" spans="8:8" ht="13">
      <c r="H1013" s="226"/>
    </row>
    <row r="1014" spans="8:8" ht="13">
      <c r="H1014" s="226"/>
    </row>
    <row r="1015" spans="8:8" ht="13">
      <c r="H1015" s="226"/>
    </row>
    <row r="1016" spans="8:8" ht="13">
      <c r="H1016" s="226"/>
    </row>
    <row r="1017" spans="8:8" ht="13">
      <c r="H1017" s="226"/>
    </row>
    <row r="1018" spans="8:8" ht="13">
      <c r="H1018" s="226"/>
    </row>
    <row r="1019" spans="8:8" ht="13">
      <c r="H1019" s="226"/>
    </row>
  </sheetData>
  <conditionalFormatting sqref="B1 B3:B1019">
    <cfRule type="cellIs" dxfId="408" priority="1" operator="between">
      <formula>50</formula>
      <formula>200</formula>
    </cfRule>
  </conditionalFormatting>
  <conditionalFormatting sqref="B1 B3:B1019">
    <cfRule type="cellIs" dxfId="407" priority="2" operator="between">
      <formula>201</formula>
      <formula>400</formula>
    </cfRule>
  </conditionalFormatting>
  <conditionalFormatting sqref="B3:B1014">
    <cfRule type="cellIs" dxfId="406" priority="3" operator="between">
      <formula>401</formula>
      <formula>650</formula>
    </cfRule>
  </conditionalFormatting>
  <conditionalFormatting sqref="B3:B1014">
    <cfRule type="cellIs" dxfId="405" priority="4" operator="between">
      <formula>651</formula>
      <formula>900</formula>
    </cfRule>
  </conditionalFormatting>
  <conditionalFormatting sqref="B3:B1014">
    <cfRule type="cellIs" dxfId="404" priority="5" operator="greaterThan">
      <formula>900</formula>
    </cfRule>
  </conditionalFormatting>
  <conditionalFormatting sqref="P3:P1014">
    <cfRule type="containsText" dxfId="403" priority="6" operator="containsText" text="yes">
      <formula>NOT(ISERROR(SEARCH(("yes"),(P3))))</formula>
    </cfRule>
  </conditionalFormatting>
  <conditionalFormatting sqref="F1:F27 F29:F1019">
    <cfRule type="colorScale" priority="7">
      <colorScale>
        <cfvo type="min"/>
        <cfvo type="formula" val="150"/>
        <color rgb="FFEAD1DC"/>
        <color rgb="FFA64D79"/>
      </colorScale>
    </cfRule>
  </conditionalFormatting>
  <conditionalFormatting sqref="D3:D42">
    <cfRule type="colorScale" priority="8">
      <colorScale>
        <cfvo type="formula" val="1.2"/>
        <cfvo type="formula" val="4"/>
        <color rgb="FF0B5394"/>
        <color rgb="FFFFFFFF"/>
      </colorScale>
    </cfRule>
  </conditionalFormatting>
  <conditionalFormatting sqref="E3:E27 E29:E42">
    <cfRule type="colorScale" priority="9">
      <colorScale>
        <cfvo type="formula" val="65"/>
        <cfvo type="formula" val="100"/>
        <color rgb="FFD9D2E9"/>
        <color rgb="FF674EA7"/>
      </colorScale>
    </cfRule>
  </conditionalFormatting>
  <conditionalFormatting sqref="D3:D42">
    <cfRule type="containsText" dxfId="402" priority="10" operator="containsText" text="1.2">
      <formula>NOT(ISERROR(SEARCH(("1.2"),(D3))))</formula>
    </cfRule>
  </conditionalFormatting>
  <conditionalFormatting sqref="D3:D42">
    <cfRule type="containsText" dxfId="401" priority="11" operator="containsText" text="1.4">
      <formula>NOT(ISERROR(SEARCH(("1.4"),(D3))))</formula>
    </cfRule>
  </conditionalFormatting>
  <conditionalFormatting sqref="D3:D61">
    <cfRule type="containsText" dxfId="400" priority="12" operator="containsText" text="1.8">
      <formula>NOT(ISERROR(SEARCH(("1.8"),(D3))))</formula>
    </cfRule>
  </conditionalFormatting>
  <conditionalFormatting sqref="C3:C42">
    <cfRule type="colorScale" priority="13">
      <colorScale>
        <cfvo type="formula" val="10"/>
        <cfvo type="formula" val="50"/>
        <cfvo type="formula" val="400"/>
        <color rgb="FFCFE2F3"/>
        <color rgb="FF709CE0"/>
        <color rgb="FF1155CC"/>
      </colorScale>
    </cfRule>
  </conditionalFormatting>
  <dataValidations count="1">
    <dataValidation type="list" allowBlank="1" sqref="S3:S42" xr:uid="{00000000-0002-0000-0100-000000000000}">
      <formula1>"Sony,Voigtlander,Zeiss,Sigma,Samyang,Viltrox,Tokina,Tamron"</formula1>
    </dataValidation>
  </dataValidations>
  <hyperlinks>
    <hyperlink ref="K1" r:id="rId1" xr:uid="{00000000-0004-0000-0100-000000000000}"/>
    <hyperlink ref="M1" r:id="rId2" xr:uid="{00000000-0004-0000-0100-000001000000}"/>
    <hyperlink ref="N1"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outlinePr summaryBelow="0" summaryRight="0"/>
  </sheetPr>
  <dimension ref="A1:V113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9.1640625" customWidth="1"/>
    <col min="2" max="2" width="6.5" customWidth="1"/>
    <col min="3" max="3" width="8.1640625" customWidth="1"/>
    <col min="4" max="4" width="8" customWidth="1"/>
    <col min="5" max="6" width="7.33203125" customWidth="1"/>
    <col min="7" max="7" width="4" customWidth="1"/>
    <col min="8" max="8" width="7.1640625" customWidth="1"/>
    <col min="9" max="9" width="4.5" customWidth="1"/>
    <col min="10" max="10" width="7.6640625" customWidth="1"/>
    <col min="11" max="14" width="4" customWidth="1"/>
    <col min="15" max="15" width="7.5" customWidth="1"/>
    <col min="16" max="16" width="6.83203125" customWidth="1"/>
    <col min="17" max="17" width="5.5" customWidth="1"/>
    <col min="18" max="18" width="6.1640625" customWidth="1"/>
    <col min="19" max="19" width="13.33203125" customWidth="1"/>
    <col min="20" max="20" width="7.5" customWidth="1"/>
  </cols>
  <sheetData>
    <row r="1" spans="1:22" ht="76.5" customHeight="1">
      <c r="A1" s="1" t="s">
        <v>0</v>
      </c>
      <c r="B1" s="2" t="s">
        <v>1</v>
      </c>
      <c r="C1" s="3" t="s">
        <v>2</v>
      </c>
      <c r="D1" s="4" t="s">
        <v>3</v>
      </c>
      <c r="E1" s="5" t="s">
        <v>4</v>
      </c>
      <c r="F1" s="6" t="s">
        <v>5</v>
      </c>
      <c r="G1" s="7" t="s">
        <v>6</v>
      </c>
      <c r="H1" s="8" t="s">
        <v>7</v>
      </c>
      <c r="I1" s="3" t="s">
        <v>8</v>
      </c>
      <c r="J1" s="9" t="s">
        <v>9</v>
      </c>
      <c r="K1" s="10" t="s">
        <v>18</v>
      </c>
      <c r="L1" s="11" t="s">
        <v>19</v>
      </c>
      <c r="M1" s="10" t="s">
        <v>20</v>
      </c>
      <c r="N1" s="12" t="s">
        <v>21</v>
      </c>
      <c r="O1" s="3" t="s">
        <v>10</v>
      </c>
      <c r="P1" s="5" t="s">
        <v>11</v>
      </c>
      <c r="Q1" s="3" t="s">
        <v>12</v>
      </c>
      <c r="R1" s="3" t="s">
        <v>13</v>
      </c>
      <c r="S1" s="3" t="s">
        <v>14</v>
      </c>
      <c r="T1" s="3" t="s">
        <v>15</v>
      </c>
      <c r="U1" s="13" t="s">
        <v>22</v>
      </c>
    </row>
    <row r="2" spans="1:22" ht="18" hidden="1" customHeight="1">
      <c r="A2" s="14" t="s">
        <v>23</v>
      </c>
      <c r="B2" s="15"/>
      <c r="C2" s="15"/>
      <c r="D2" s="15"/>
      <c r="E2" s="15"/>
      <c r="F2" s="15"/>
      <c r="G2" s="16"/>
      <c r="H2" s="17"/>
      <c r="I2" s="15"/>
      <c r="J2" s="15"/>
      <c r="K2" s="15"/>
      <c r="L2" s="15"/>
      <c r="M2" s="15"/>
      <c r="N2" s="15"/>
      <c r="O2" s="15"/>
      <c r="P2" s="16"/>
      <c r="Q2" s="15"/>
      <c r="R2" s="16"/>
      <c r="S2" s="18"/>
      <c r="T2" s="16"/>
    </row>
    <row r="3" spans="1:22" ht="13">
      <c r="A3" s="19" t="str">
        <f>HYPERLINK("https://phillipreeve.net/blog/review-voigtlander-10mm-5-6-e-hyper-wide-heliar/","Voigtlander 10mm F5.6 Hyper Wide ")</f>
        <v xml:space="preserve">Voigtlander 10mm F5.6 Hyper Wide </v>
      </c>
      <c r="B3" s="21">
        <v>375</v>
      </c>
      <c r="C3" s="23">
        <v>10</v>
      </c>
      <c r="D3" s="25">
        <v>5.6</v>
      </c>
      <c r="E3" s="27">
        <v>67</v>
      </c>
      <c r="F3" s="29" t="s">
        <v>24</v>
      </c>
      <c r="G3" s="31" t="s">
        <v>25</v>
      </c>
      <c r="H3" s="33" t="s">
        <v>26</v>
      </c>
      <c r="I3" s="35">
        <v>6.7000000000000004E-2</v>
      </c>
      <c r="J3" s="37">
        <v>30</v>
      </c>
      <c r="K3" s="39" t="s">
        <v>27</v>
      </c>
      <c r="L3" s="35">
        <v>10</v>
      </c>
      <c r="M3" s="40" t="s">
        <v>28</v>
      </c>
      <c r="N3" s="35" t="s">
        <v>29</v>
      </c>
      <c r="O3" s="42">
        <v>42552</v>
      </c>
      <c r="P3" s="44">
        <v>1099</v>
      </c>
      <c r="Q3" s="44">
        <v>750</v>
      </c>
      <c r="R3" s="47" t="str">
        <f>HYPERLINK("https://amzn.to/2jJ8WxH","link*")</f>
        <v>link*</v>
      </c>
      <c r="S3" s="47" t="str">
        <f>HYPERLINK("https://www.bhphotovideo.com/c/product/1219550-REG/voigtlander_ba334b_heliar_hyper_wide_10mm_f_5_6.html/BI/19619/KBID/12129/DFF/d10-v21-t1-x732282/SID/EZ","link*")</f>
        <v>link*</v>
      </c>
      <c r="T3" s="47" t="str">
        <f>HYPERLINK("https://amzn.to/2jG72hr","link*")</f>
        <v>link*</v>
      </c>
      <c r="U3" s="47"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V3" s="56" t="s">
        <v>34</v>
      </c>
    </row>
    <row r="4" spans="1:22" ht="13" hidden="1">
      <c r="A4" s="58" t="s">
        <v>35</v>
      </c>
      <c r="B4" s="60">
        <v>565</v>
      </c>
      <c r="C4" s="62">
        <v>12</v>
      </c>
      <c r="D4" s="64">
        <v>4</v>
      </c>
      <c r="E4" s="65">
        <v>87</v>
      </c>
      <c r="F4" s="67">
        <v>117</v>
      </c>
      <c r="G4" s="70" t="s">
        <v>36</v>
      </c>
      <c r="H4" s="72" t="s">
        <v>26</v>
      </c>
      <c r="I4" s="74">
        <v>0.14000000000000001</v>
      </c>
      <c r="J4" s="76">
        <v>1699</v>
      </c>
      <c r="K4" s="79" t="str">
        <f>HYPERLINK("https://amzn.to/2SSzKc4","link*")</f>
        <v>link*</v>
      </c>
      <c r="L4" s="79" t="str">
        <f>HYPERLINK("https://www.bhphotovideo.com/c/product/1338517-REG/sony_sel1224g_fe_12_24mm_f_4_g.html/BI/19619/KBID/12129/DFF/d10-v21-t1-x822838/SID/EZ","link*")</f>
        <v>link*</v>
      </c>
      <c r="M4" s="79" t="str">
        <f>HYPERLINK("https://amzn.to/2Kg94zb","link*")</f>
        <v>link*</v>
      </c>
      <c r="N4" s="79"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4" s="84">
        <v>24</v>
      </c>
      <c r="P4" s="70" t="s">
        <v>27</v>
      </c>
      <c r="Q4" s="74">
        <v>7</v>
      </c>
      <c r="R4" s="86" t="s">
        <v>40</v>
      </c>
      <c r="S4" s="74" t="s">
        <v>41</v>
      </c>
      <c r="T4" s="88">
        <v>42856</v>
      </c>
    </row>
    <row r="5" spans="1:22" ht="13" hidden="1">
      <c r="A5" s="66" t="s">
        <v>35</v>
      </c>
      <c r="B5" s="50">
        <v>565</v>
      </c>
      <c r="C5" s="68">
        <v>12</v>
      </c>
      <c r="D5" s="52">
        <v>4</v>
      </c>
      <c r="E5" s="78">
        <v>87</v>
      </c>
      <c r="F5" s="51">
        <v>117</v>
      </c>
      <c r="G5" s="73" t="s">
        <v>36</v>
      </c>
      <c r="H5" s="57" t="s">
        <v>26</v>
      </c>
      <c r="I5" s="59">
        <v>0.14000000000000001</v>
      </c>
      <c r="J5" s="71">
        <v>24</v>
      </c>
      <c r="K5" s="73" t="s">
        <v>27</v>
      </c>
      <c r="L5" s="59">
        <v>7</v>
      </c>
      <c r="M5" s="81" t="s">
        <v>40</v>
      </c>
      <c r="N5" s="59" t="s">
        <v>41</v>
      </c>
      <c r="O5" s="83">
        <v>42856</v>
      </c>
      <c r="P5" s="61">
        <v>1699</v>
      </c>
      <c r="Q5" s="61">
        <v>1250</v>
      </c>
      <c r="R5" s="69" t="str">
        <f>HYPERLINK("https://amzn.to/2SSzKc4","link*")</f>
        <v>link*</v>
      </c>
      <c r="S5" s="69" t="str">
        <f>HYPERLINK("https://www.bhphotovideo.com/c/product/1338517-REG/sony_sel1224g_fe_12_24mm_f_4_g.html/BI/19619/KBID/12129/DFF/d10-v21-t1-x822838/SID/EZ","link*")</f>
        <v>link*</v>
      </c>
      <c r="T5" s="69" t="str">
        <f>HYPERLINK("https://amzn.to/2Kg94zb","link*")</f>
        <v>link*</v>
      </c>
      <c r="U5" s="69"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row>
    <row r="6" spans="1:22" ht="13" hidden="1">
      <c r="A6" s="58" t="s">
        <v>45</v>
      </c>
      <c r="B6" s="60">
        <v>1170</v>
      </c>
      <c r="C6" s="62">
        <v>14</v>
      </c>
      <c r="D6" s="100">
        <v>1.8</v>
      </c>
      <c r="E6" s="101">
        <v>95</v>
      </c>
      <c r="F6" s="103">
        <v>126</v>
      </c>
      <c r="G6" s="74" t="s">
        <v>36</v>
      </c>
      <c r="H6" s="72" t="s">
        <v>26</v>
      </c>
      <c r="I6" s="74">
        <v>0.1</v>
      </c>
      <c r="J6" s="76">
        <v>1599</v>
      </c>
      <c r="K6" s="79" t="str">
        <f>HYPERLINK("https://amzn.to/2SOWTvV","link*")</f>
        <v>link*</v>
      </c>
      <c r="L6" s="79" t="str">
        <f>HYPERLINK("https://www.bhphotovideo.com/c/product/1393489-REG/sigma_14mm_f_1_8_dg_hsm.html/BI/19619/KBID/12129/DFF/d10-v21-t1-x881154/SID/EZ","link*")</f>
        <v>link*</v>
      </c>
      <c r="M6" s="79" t="str">
        <f>HYPERLINK("https://amzn.to/2ZDl4QJ","link*")</f>
        <v>link*</v>
      </c>
      <c r="N6" s="79"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O6" s="84">
        <v>27</v>
      </c>
      <c r="P6" s="70" t="s">
        <v>27</v>
      </c>
      <c r="Q6" s="74">
        <v>9</v>
      </c>
      <c r="R6" s="112">
        <v>43785</v>
      </c>
      <c r="S6" s="74" t="s">
        <v>47</v>
      </c>
      <c r="T6" s="88">
        <v>43221</v>
      </c>
      <c r="U6" s="77" t="s">
        <v>48</v>
      </c>
    </row>
    <row r="7" spans="1:22" ht="13" hidden="1">
      <c r="A7" s="58" t="s">
        <v>49</v>
      </c>
      <c r="B7" s="60">
        <v>795</v>
      </c>
      <c r="C7" s="62">
        <v>14</v>
      </c>
      <c r="D7" s="64">
        <v>2.8</v>
      </c>
      <c r="E7" s="65">
        <v>85</v>
      </c>
      <c r="F7" s="103">
        <v>131</v>
      </c>
      <c r="G7" s="74" t="s">
        <v>36</v>
      </c>
      <c r="H7" s="72" t="s">
        <v>26</v>
      </c>
      <c r="I7" s="74">
        <v>0.14000000000000001</v>
      </c>
      <c r="J7" s="76">
        <v>1399</v>
      </c>
      <c r="K7" s="79" t="str">
        <f>HYPERLINK("https://amzn.to/2zt8rMC","link*")</f>
        <v>link*</v>
      </c>
      <c r="L7" s="79" t="str">
        <f>HYPERLINK("https://www.bhphotovideo.com/c/product/1492972-REG/sigma_213965_14_24mm_f_2_8_dg_dn.html/BI/19619/KBID/12129/DFF/d10-v21-t1-x976041/SID/EZ","link*")</f>
        <v>link*</v>
      </c>
      <c r="M7" s="113" t="s">
        <v>51</v>
      </c>
      <c r="N7" s="79"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O7" s="84">
        <v>28</v>
      </c>
      <c r="P7" s="70" t="s">
        <v>27</v>
      </c>
      <c r="Q7" s="74">
        <v>11</v>
      </c>
      <c r="R7" s="115" t="s">
        <v>54</v>
      </c>
      <c r="S7" s="74" t="s">
        <v>47</v>
      </c>
      <c r="T7" s="88">
        <v>43739</v>
      </c>
      <c r="U7" s="77" t="s">
        <v>55</v>
      </c>
    </row>
    <row r="8" spans="1:22" ht="13" hidden="1">
      <c r="A8" s="58" t="s">
        <v>56</v>
      </c>
      <c r="B8" s="60">
        <v>505</v>
      </c>
      <c r="C8" s="62">
        <v>14</v>
      </c>
      <c r="D8" s="64">
        <v>2.8</v>
      </c>
      <c r="E8" s="65">
        <v>86</v>
      </c>
      <c r="F8" s="67">
        <v>98</v>
      </c>
      <c r="G8" s="74" t="s">
        <v>36</v>
      </c>
      <c r="H8" s="72" t="s">
        <v>26</v>
      </c>
      <c r="I8" s="74">
        <v>0.12</v>
      </c>
      <c r="J8" s="76">
        <v>799</v>
      </c>
      <c r="K8" s="79" t="str">
        <f>HYPERLINK("https://amzn.to/2SX2HUi","link*")</f>
        <v>link*</v>
      </c>
      <c r="L8" s="79" t="str">
        <f>HYPERLINK("https://www.bhphotovideo.com/c/product/1352863-REG/samyang_syio14af_e_14mm_f_2_8_f_f_wide.html/BI/19619/KBID/12129/DFF/d10-v21-t1-x837928/SID/EZ","link*")</f>
        <v>link*</v>
      </c>
      <c r="M8" s="79" t="str">
        <f>HYPERLINK("https://amzn.to/31hwSIL","link*")</f>
        <v>link*</v>
      </c>
      <c r="N8" s="79"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8" s="84">
        <v>20</v>
      </c>
      <c r="P8" s="70" t="s">
        <v>27</v>
      </c>
      <c r="Q8" s="74">
        <v>7</v>
      </c>
      <c r="R8" s="112">
        <v>43752</v>
      </c>
      <c r="S8" s="74" t="s">
        <v>38</v>
      </c>
      <c r="T8" s="88">
        <v>43221</v>
      </c>
    </row>
    <row r="9" spans="1:22" ht="13">
      <c r="A9" s="19" t="str">
        <f>HYPERLINK("https://phillipreeve.net/blog/review-voigtlander-12mm-5-6-aspherical-ultra-wide-heliar/","Voigtlander 12mm F5.6 Ultra Wide-Heliar Aspherical")</f>
        <v>Voigtlander 12mm F5.6 Ultra Wide-Heliar Aspherical</v>
      </c>
      <c r="B9" s="21">
        <v>350</v>
      </c>
      <c r="C9" s="23">
        <v>12</v>
      </c>
      <c r="D9" s="25">
        <v>5.6</v>
      </c>
      <c r="E9" s="95">
        <v>67</v>
      </c>
      <c r="F9" s="29">
        <v>68</v>
      </c>
      <c r="G9" s="39" t="s">
        <v>25</v>
      </c>
      <c r="H9" s="33" t="s">
        <v>26</v>
      </c>
      <c r="I9" s="35"/>
      <c r="J9" s="37">
        <v>30</v>
      </c>
      <c r="K9" s="39" t="s">
        <v>27</v>
      </c>
      <c r="L9" s="35">
        <v>10</v>
      </c>
      <c r="M9" s="40" t="s">
        <v>43</v>
      </c>
      <c r="N9" s="35" t="s">
        <v>29</v>
      </c>
      <c r="O9" s="42">
        <v>42583</v>
      </c>
      <c r="P9" s="44">
        <v>749</v>
      </c>
      <c r="Q9" s="44" t="s">
        <v>44</v>
      </c>
      <c r="R9" s="97"/>
      <c r="S9" s="97"/>
      <c r="T9" s="97"/>
      <c r="U9" s="47"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V9" s="56" t="s">
        <v>46</v>
      </c>
    </row>
    <row r="10" spans="1:22" ht="13" hidden="1">
      <c r="A10" s="126" t="str">
        <f>HYPERLINK("https://phillipreeve.net/blog/sony-fe-16-35mm-f4-za-t-review/","Sony ZA 4/16-35 OSS ")</f>
        <v xml:space="preserve">Sony ZA 4/16-35 OSS </v>
      </c>
      <c r="B10" s="60">
        <v>523</v>
      </c>
      <c r="C10" s="62">
        <v>16</v>
      </c>
      <c r="D10" s="64">
        <v>4</v>
      </c>
      <c r="E10" s="65">
        <v>78</v>
      </c>
      <c r="F10" s="67">
        <v>98</v>
      </c>
      <c r="G10" s="70" t="s">
        <v>36</v>
      </c>
      <c r="H10" s="72" t="s">
        <v>64</v>
      </c>
      <c r="I10" s="74">
        <v>0.19</v>
      </c>
      <c r="J10" s="76">
        <v>1349</v>
      </c>
      <c r="K10" s="79" t="str">
        <f>HYPERLINK("http://amzn.to/2v2sY7q","link*")</f>
        <v>link*</v>
      </c>
      <c r="L10" s="79" t="str">
        <f>HYPERLINK("https://www.bhphotovideo.com/c/product/1380866-REG/sony_16_35mm_f_4_vario_tsr.html/BI/19619/KBID/12129/kw/SO16354F/DFF/d10-v2-t1-xSO16354F","link*")</f>
        <v>link*</v>
      </c>
      <c r="M10" s="79" t="str">
        <f>HYPERLINK("http://amzn.to/2wyMLuP","link*")</f>
        <v>link*</v>
      </c>
      <c r="N10" s="7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10" s="84">
        <v>28</v>
      </c>
      <c r="P10" s="134" t="s">
        <v>66</v>
      </c>
      <c r="Q10" s="74">
        <v>7</v>
      </c>
      <c r="R10" s="136" t="s">
        <v>43</v>
      </c>
      <c r="S10" s="74" t="s">
        <v>41</v>
      </c>
      <c r="T10" s="88">
        <v>41883</v>
      </c>
    </row>
    <row r="11" spans="1:22" ht="13" hidden="1">
      <c r="A11" s="58" t="s">
        <v>67</v>
      </c>
      <c r="B11" s="60">
        <v>680</v>
      </c>
      <c r="C11" s="62">
        <v>16</v>
      </c>
      <c r="D11" s="64">
        <v>2.8</v>
      </c>
      <c r="E11" s="65">
        <v>89</v>
      </c>
      <c r="F11" s="67">
        <v>122</v>
      </c>
      <c r="G11" s="70" t="s">
        <v>36</v>
      </c>
      <c r="H11" s="72" t="s">
        <v>68</v>
      </c>
      <c r="I11" s="74">
        <v>0.19</v>
      </c>
      <c r="J11" s="76">
        <v>2199</v>
      </c>
      <c r="K11" s="79" t="str">
        <f>HYPERLINK("https://amzn.to/2SR0IRl","link*")</f>
        <v>link*</v>
      </c>
      <c r="L11" s="79" t="str">
        <f>HYPERLINK("https://www.bhphotovideo.com/c/product/1338516-REG/sony_sel1635gm_fe_16_35mm_f_2_8_gm.html/BI/19619/KBID/12129/DFF/d10-v21-t1-x822837/SID/EZ","link*")</f>
        <v>link*</v>
      </c>
      <c r="M11" s="79" t="str">
        <f>HYPERLINK("https://amzn.to/2T1ZxOU","link*")</f>
        <v>link*</v>
      </c>
      <c r="N11" s="79"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11" s="84">
        <v>28</v>
      </c>
      <c r="P11" s="70" t="s">
        <v>27</v>
      </c>
      <c r="Q11" s="74">
        <v>11</v>
      </c>
      <c r="R11" s="136" t="s">
        <v>72</v>
      </c>
      <c r="S11" s="74" t="s">
        <v>41</v>
      </c>
      <c r="T11" s="88">
        <v>42856</v>
      </c>
    </row>
    <row r="12" spans="1:22" ht="13" hidden="1">
      <c r="A12" s="126" t="str">
        <f>HYPERLINK("https://phillipreeve.net/blog/review-tamron-17-28mm-f-2-8-di-iii-rxd/","Tamron 17-28mm f/2.8 Di III RXD")</f>
        <v>Tamron 17-28mm f/2.8 Di III RXD</v>
      </c>
      <c r="B12" s="60">
        <v>420</v>
      </c>
      <c r="C12" s="62">
        <v>17</v>
      </c>
      <c r="D12" s="64">
        <v>2.8</v>
      </c>
      <c r="E12" s="152">
        <v>73</v>
      </c>
      <c r="F12" s="67">
        <v>99</v>
      </c>
      <c r="G12" s="70" t="s">
        <v>36</v>
      </c>
      <c r="H12" s="72" t="s">
        <v>73</v>
      </c>
      <c r="I12" s="74">
        <v>0.19</v>
      </c>
      <c r="J12" s="156">
        <v>899</v>
      </c>
      <c r="K12" s="79" t="str">
        <f>HYPERLINK("https://amzn.to/2Hv3AyB","link*")</f>
        <v>link*</v>
      </c>
      <c r="L12" s="79" t="str">
        <f>HYPERLINK("https://www.bhphotovideo.com/c/product/1461529-REG/tamron_a046_17_28mm_f_2_8_di_iii.html/BI/19619/KBID/12129/DFF/d10-v21-t1-x946694/SID/EZ","link*")</f>
        <v>link*</v>
      </c>
      <c r="M12" s="79" t="str">
        <f>HYPERLINK("https://amzn.to/2YkrkQB","link*")</f>
        <v>link*</v>
      </c>
      <c r="N12" s="79"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12" s="84">
        <v>19</v>
      </c>
      <c r="P12" s="70" t="s">
        <v>27</v>
      </c>
      <c r="Q12" s="74">
        <v>9</v>
      </c>
      <c r="R12" s="136" t="s">
        <v>77</v>
      </c>
      <c r="S12" s="74" t="s">
        <v>78</v>
      </c>
      <c r="T12" s="88">
        <v>43647</v>
      </c>
      <c r="V12" s="160"/>
    </row>
    <row r="13" spans="1:22" ht="13" hidden="1">
      <c r="A13" s="126" t="str">
        <f>HYPERLINK("https://phillipreeve.net/blog/review-zeiss-batis-18mm-2-8/","Zeiss Batis 2.8/18")</f>
        <v>Zeiss Batis 2.8/18</v>
      </c>
      <c r="B13" s="60">
        <v>330</v>
      </c>
      <c r="C13" s="62">
        <v>18</v>
      </c>
      <c r="D13" s="64">
        <v>2.8</v>
      </c>
      <c r="E13" s="65">
        <v>100</v>
      </c>
      <c r="F13" s="67">
        <v>80</v>
      </c>
      <c r="G13" s="70" t="s">
        <v>36</v>
      </c>
      <c r="H13" s="72" t="s">
        <v>80</v>
      </c>
      <c r="I13" s="74">
        <v>0.1</v>
      </c>
      <c r="J13" s="76">
        <v>1499</v>
      </c>
      <c r="K13" s="79" t="str">
        <f>HYPERLINK("https://amzn.to/2SRFBhL","link*")</f>
        <v>link*</v>
      </c>
      <c r="L13" s="79" t="str">
        <f>HYPERLINK("https://www.bhphotovideo.com/c/product/1243591-REG/zeiss_2136_691_batis_18mm_f_2_8_lens.html/BI/19619/KBID/12129/DFF/d10-v21-t1-x727488/SID/EZ","link*")</f>
        <v>link*</v>
      </c>
      <c r="M13" s="79" t="str">
        <f>HYPERLINK("https://amzn.to/334PqNT","link*")</f>
        <v>link*</v>
      </c>
      <c r="N13" s="7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13" s="84">
        <v>25</v>
      </c>
      <c r="P13" s="70" t="s">
        <v>27</v>
      </c>
      <c r="Q13" s="74">
        <v>9</v>
      </c>
      <c r="R13" s="136" t="s">
        <v>86</v>
      </c>
      <c r="S13" s="74" t="s">
        <v>87</v>
      </c>
      <c r="T13" s="88">
        <v>42491</v>
      </c>
    </row>
    <row r="14" spans="1:22" ht="13" hidden="1">
      <c r="A14" s="163" t="s">
        <v>88</v>
      </c>
      <c r="B14" s="60">
        <v>145</v>
      </c>
      <c r="C14" s="62">
        <v>18</v>
      </c>
      <c r="D14" s="64">
        <v>2.8</v>
      </c>
      <c r="E14" s="65">
        <v>63.5</v>
      </c>
      <c r="F14" s="67">
        <v>60.5</v>
      </c>
      <c r="G14" s="70" t="s">
        <v>36</v>
      </c>
      <c r="H14" s="72" t="s">
        <v>71</v>
      </c>
      <c r="I14" s="74">
        <v>0.09</v>
      </c>
      <c r="J14" s="76">
        <v>399</v>
      </c>
      <c r="K14" s="121"/>
      <c r="L14" s="79" t="str">
        <f>HYPERLINK("https://www.bhphotovideo.com/c/product/1503295-REG/samyang_syio18af_e_af_18mm_f_2_8_fe.html/BI/19619/KBID/12129/DFF/d10-v21-t1-x985623/SID/EZ","link*")</f>
        <v>link*</v>
      </c>
      <c r="M14" s="121"/>
      <c r="N14" s="121"/>
      <c r="O14" s="84">
        <v>25</v>
      </c>
      <c r="P14" s="70" t="s">
        <v>27</v>
      </c>
      <c r="Q14" s="74">
        <v>7</v>
      </c>
      <c r="R14" s="136" t="s">
        <v>91</v>
      </c>
      <c r="S14" s="74" t="s">
        <v>38</v>
      </c>
      <c r="T14" s="88">
        <v>43723</v>
      </c>
    </row>
    <row r="15" spans="1:22" ht="15.75" hidden="1" customHeight="1">
      <c r="A15" s="58" t="s">
        <v>92</v>
      </c>
      <c r="B15" s="60">
        <v>950</v>
      </c>
      <c r="C15" s="62">
        <v>20</v>
      </c>
      <c r="D15" s="165">
        <v>1.4</v>
      </c>
      <c r="E15" s="65">
        <v>91</v>
      </c>
      <c r="F15" s="67">
        <v>130</v>
      </c>
      <c r="G15" s="74" t="s">
        <v>36</v>
      </c>
      <c r="H15" s="72" t="s">
        <v>26</v>
      </c>
      <c r="I15" s="74">
        <v>0.14000000000000001</v>
      </c>
      <c r="J15" s="76">
        <v>899</v>
      </c>
      <c r="K15" s="79" t="str">
        <f>HYPERLINK("https://amzn.to/2K4J7nh","link*")</f>
        <v>link*</v>
      </c>
      <c r="L15" s="79" t="str">
        <f>HYPERLINK("https://amzn.to/31hxv55","link*")</f>
        <v>link*</v>
      </c>
      <c r="M15" s="79" t="str">
        <f>HYPERLINK("https://amzn.to/2Wy0d3F","link*")</f>
        <v>link*</v>
      </c>
      <c r="N15" s="79"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O15" s="84">
        <v>28</v>
      </c>
      <c r="P15" s="70" t="s">
        <v>27</v>
      </c>
      <c r="Q15" s="74">
        <v>9</v>
      </c>
      <c r="R15" s="112">
        <v>43784</v>
      </c>
      <c r="S15" s="74" t="s">
        <v>47</v>
      </c>
      <c r="T15" s="88">
        <v>43221</v>
      </c>
      <c r="U15" s="77" t="s">
        <v>48</v>
      </c>
    </row>
    <row r="16" spans="1:22" ht="13" hidden="1">
      <c r="A16" s="66" t="s">
        <v>45</v>
      </c>
      <c r="B16" s="50">
        <v>1220</v>
      </c>
      <c r="C16" s="68">
        <v>14</v>
      </c>
      <c r="D16" s="106">
        <v>1.8</v>
      </c>
      <c r="E16" s="108">
        <v>95</v>
      </c>
      <c r="F16" s="109">
        <v>152</v>
      </c>
      <c r="G16" s="59" t="s">
        <v>36</v>
      </c>
      <c r="H16" s="57" t="s">
        <v>26</v>
      </c>
      <c r="I16" s="59">
        <v>0.1</v>
      </c>
      <c r="J16" s="71">
        <v>27</v>
      </c>
      <c r="K16" s="73" t="s">
        <v>27</v>
      </c>
      <c r="L16" s="59">
        <v>9</v>
      </c>
      <c r="M16" s="110">
        <v>43785</v>
      </c>
      <c r="N16" s="59" t="s">
        <v>47</v>
      </c>
      <c r="O16" s="83">
        <v>43221</v>
      </c>
      <c r="P16" s="61">
        <v>1599</v>
      </c>
      <c r="Q16" s="61">
        <v>1100</v>
      </c>
      <c r="R16" s="69" t="str">
        <f>HYPERLINK("https://amzn.to/2SOWTvV","link*")</f>
        <v>link*</v>
      </c>
      <c r="S16" s="69" t="str">
        <f>HYPERLINK("https://www.bhphotovideo.com/c/product/1393489-REG/sigma_14mm_f_1_8_dg_hsm.html/BI/19619/KBID/12129/DFF/d10-v21-t1-x881154/SID/EZ","link*")</f>
        <v>link*</v>
      </c>
      <c r="T16" s="69" t="str">
        <f>HYPERLINK("https://amzn.to/2ZDl4QJ","link*")</f>
        <v>link*</v>
      </c>
      <c r="U16" s="69"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V16" s="77" t="s">
        <v>48</v>
      </c>
    </row>
    <row r="17" spans="1:22" ht="13" hidden="1">
      <c r="A17" s="58" t="s">
        <v>49</v>
      </c>
      <c r="B17" s="60">
        <v>795</v>
      </c>
      <c r="C17" s="62">
        <v>14</v>
      </c>
      <c r="D17" s="64">
        <v>2.8</v>
      </c>
      <c r="E17" s="65">
        <v>85</v>
      </c>
      <c r="F17" s="103">
        <v>131</v>
      </c>
      <c r="G17" s="74" t="s">
        <v>36</v>
      </c>
      <c r="H17" s="72" t="s">
        <v>26</v>
      </c>
      <c r="I17" s="74">
        <v>0.14000000000000001</v>
      </c>
      <c r="J17" s="84">
        <v>28</v>
      </c>
      <c r="K17" s="70" t="s">
        <v>27</v>
      </c>
      <c r="L17" s="74">
        <v>11</v>
      </c>
      <c r="M17" s="115" t="s">
        <v>54</v>
      </c>
      <c r="N17" s="74" t="s">
        <v>47</v>
      </c>
      <c r="O17" s="88">
        <v>43693</v>
      </c>
      <c r="P17" s="76">
        <v>1399</v>
      </c>
      <c r="Q17" s="76" t="s">
        <v>44</v>
      </c>
      <c r="R17" s="79" t="str">
        <f>HYPERLINK("https://amzn.to/2zt8rMC","link*")</f>
        <v>link*</v>
      </c>
      <c r="S17" s="79" t="str">
        <f>HYPERLINK("https://www.bhphotovideo.com/c/product/1492972-REG/sigma_213965_14_24mm_f_2_8_dg_dn.html/BI/19619/KBID/12129/DFF/d10-v21-t1-x976041/SID/EZ","link*")</f>
        <v>link*</v>
      </c>
      <c r="T17" s="113" t="s">
        <v>51</v>
      </c>
      <c r="U17" s="79"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V17" s="77" t="s">
        <v>55</v>
      </c>
    </row>
    <row r="18" spans="1:22" ht="13" hidden="1">
      <c r="A18" s="58" t="s">
        <v>97</v>
      </c>
      <c r="B18" s="60">
        <v>464</v>
      </c>
      <c r="C18" s="62">
        <v>20</v>
      </c>
      <c r="D18" s="173">
        <v>2</v>
      </c>
      <c r="E18" s="175">
        <v>73</v>
      </c>
      <c r="F18" s="176">
        <v>82</v>
      </c>
      <c r="G18" s="70" t="s">
        <v>36</v>
      </c>
      <c r="H18" s="72" t="s">
        <v>101</v>
      </c>
      <c r="I18" s="74">
        <v>0.1</v>
      </c>
      <c r="J18" s="76">
        <v>949</v>
      </c>
      <c r="K18" s="79" t="str">
        <f>HYPERLINK("https://amzn.to/2GDurZb","link*")</f>
        <v>link*</v>
      </c>
      <c r="L18" s="79" t="str">
        <f>HYPERLINK("https://www.bhphotovideo.com/c/product/1393327-REG/tokina_firin_20mm_f_2_fe.html/BI/19619/KBID/12129/DFF/d10-v21-t1-x880327/SID/EZ","link*")</f>
        <v>link*</v>
      </c>
      <c r="M18" s="79" t="str">
        <f>HYPERLINK("https://amzn.to/2GJYCxw","link*")</f>
        <v>link*</v>
      </c>
      <c r="N18" s="79"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18" s="84">
        <v>30</v>
      </c>
      <c r="P18" s="70" t="s">
        <v>27</v>
      </c>
      <c r="Q18" s="74">
        <v>9</v>
      </c>
      <c r="R18" s="136" t="s">
        <v>77</v>
      </c>
      <c r="S18" s="74" t="s">
        <v>103</v>
      </c>
      <c r="T18" s="88">
        <v>43221</v>
      </c>
    </row>
    <row r="19" spans="1:22" ht="13" hidden="1">
      <c r="A19" s="120" t="s">
        <v>56</v>
      </c>
      <c r="B19" s="21">
        <v>505</v>
      </c>
      <c r="C19" s="23">
        <v>14</v>
      </c>
      <c r="D19" s="25">
        <v>2.8</v>
      </c>
      <c r="E19" s="122">
        <v>86</v>
      </c>
      <c r="F19" s="123">
        <v>98</v>
      </c>
      <c r="G19" s="35" t="s">
        <v>36</v>
      </c>
      <c r="H19" s="33" t="s">
        <v>26</v>
      </c>
      <c r="I19" s="35">
        <v>0.12</v>
      </c>
      <c r="J19" s="37">
        <v>20</v>
      </c>
      <c r="K19" s="39" t="s">
        <v>27</v>
      </c>
      <c r="L19" s="35">
        <v>7</v>
      </c>
      <c r="M19" s="124">
        <v>43752</v>
      </c>
      <c r="N19" s="35" t="s">
        <v>38</v>
      </c>
      <c r="O19" s="42">
        <v>43221</v>
      </c>
      <c r="P19" s="44">
        <v>799</v>
      </c>
      <c r="Q19" s="44">
        <v>450</v>
      </c>
      <c r="R19" s="47" t="str">
        <f>HYPERLINK("https://amzn.to/2SX2HUi","link*")</f>
        <v>link*</v>
      </c>
      <c r="S19" s="47" t="str">
        <f>HYPERLINK("https://www.bhphotovideo.com/c/product/1352863-REG/samyang_syio14af_e_14mm_f_2_8_f_f_wide.html/BI/19619/KBID/12129/DFF/d10-v21-t1-x837928/SID/EZ","link*")</f>
        <v>link*</v>
      </c>
      <c r="T19" s="47" t="str">
        <f>HYPERLINK("https://amzn.to/31hwSIL","link*")</f>
        <v>link*</v>
      </c>
      <c r="U19" s="47"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V19" s="130"/>
    </row>
    <row r="20" spans="1:22" ht="13">
      <c r="A20" s="132" t="str">
        <f>HYPERLINK("https://phillipreeve.net/blog/review-voigtlander-15mm-4-5-e-super-wide-heliar/","Voigtlander 15mm F4.5 Super Wide Heliar")</f>
        <v>Voigtlander 15mm F4.5 Super Wide Heliar</v>
      </c>
      <c r="B20" s="133">
        <v>298</v>
      </c>
      <c r="C20" s="135">
        <v>15</v>
      </c>
      <c r="D20" s="137">
        <v>4.5</v>
      </c>
      <c r="E20" s="139">
        <v>67</v>
      </c>
      <c r="F20" s="141">
        <v>62</v>
      </c>
      <c r="G20" s="143" t="s">
        <v>25</v>
      </c>
      <c r="H20" s="145" t="s">
        <v>71</v>
      </c>
      <c r="I20" s="146">
        <v>8.3000000000000004E-2</v>
      </c>
      <c r="J20" s="147">
        <v>30</v>
      </c>
      <c r="K20" s="143" t="s">
        <v>27</v>
      </c>
      <c r="L20" s="146">
        <v>10</v>
      </c>
      <c r="M20" s="149" t="s">
        <v>43</v>
      </c>
      <c r="N20" s="146" t="s">
        <v>29</v>
      </c>
      <c r="O20" s="150">
        <v>42401</v>
      </c>
      <c r="P20" s="151">
        <v>799</v>
      </c>
      <c r="Q20" s="151">
        <v>500</v>
      </c>
      <c r="R20" s="154" t="str">
        <f>HYPERLINK("https://amzn.to/2YwplrQ","link*")</f>
        <v>link*</v>
      </c>
      <c r="S20" s="154" t="str">
        <f>HYPERLINK("https://www.bhphotovideo.com/c/product/1219549-REG/voigtlander_ba329b_super_wide_heliar_15mm_f_4_5.html/BI/19619/KBID/12129/DFF/d10-v21-t1-x618202/SID/EZ","link*")</f>
        <v>link*</v>
      </c>
      <c r="T20" s="154" t="str">
        <f>HYPERLINK("https://amzn.to/2ZpTKt5","link*")</f>
        <v>link*</v>
      </c>
      <c r="U20" s="154"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V20" s="130"/>
    </row>
    <row r="21" spans="1:22" ht="13" hidden="1">
      <c r="A21" s="157" t="str">
        <f>HYPERLINK("https://phillipreeve.net/blog/sony-fe-16-35mm-f4-za-t-review/","Sony ZA 4/16-35 OSS ")</f>
        <v xml:space="preserve">Sony ZA 4/16-35 OSS </v>
      </c>
      <c r="B21" s="50">
        <v>523</v>
      </c>
      <c r="C21" s="68">
        <v>16</v>
      </c>
      <c r="D21" s="52">
        <v>4</v>
      </c>
      <c r="E21" s="78">
        <v>78</v>
      </c>
      <c r="F21" s="51">
        <v>98</v>
      </c>
      <c r="G21" s="73" t="s">
        <v>36</v>
      </c>
      <c r="H21" s="57" t="s">
        <v>64</v>
      </c>
      <c r="I21" s="59">
        <v>0.19</v>
      </c>
      <c r="J21" s="71">
        <v>28</v>
      </c>
      <c r="K21" s="158" t="s">
        <v>66</v>
      </c>
      <c r="L21" s="59">
        <v>7</v>
      </c>
      <c r="M21" s="75" t="s">
        <v>43</v>
      </c>
      <c r="N21" s="59" t="s">
        <v>41</v>
      </c>
      <c r="O21" s="83">
        <v>41883</v>
      </c>
      <c r="P21" s="61">
        <v>1349</v>
      </c>
      <c r="Q21" s="61">
        <v>800</v>
      </c>
      <c r="R21" s="69" t="str">
        <f>HYPERLINK("http://amzn.to/2v2sY7q","link*")</f>
        <v>link*</v>
      </c>
      <c r="S21" s="69" t="str">
        <f>HYPERLINK("https://www.bhphotovideo.com/c/product/1380866-REG/sony_16_35mm_f_4_vario_tsr.html/BI/19619/KBID/12129/kw/SO16354F/DFF/d10-v2-t1-xSO16354F","link*")</f>
        <v>link*</v>
      </c>
      <c r="T21" s="69" t="str">
        <f>HYPERLINK("http://amzn.to/2wyMLuP","link*")</f>
        <v>link*</v>
      </c>
      <c r="U21" s="6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row>
    <row r="22" spans="1:22" ht="13" hidden="1">
      <c r="A22" s="126" t="str">
        <f>HYPERLINK("https://phillipreeve.net/blog/review-sony-fe-24mm-1-4-gm/","Sony GM 1.4/24")</f>
        <v>Sony GM 1.4/24</v>
      </c>
      <c r="B22" s="60">
        <v>445</v>
      </c>
      <c r="C22" s="62">
        <v>24</v>
      </c>
      <c r="D22" s="192">
        <v>1.4</v>
      </c>
      <c r="E22" s="194">
        <v>75</v>
      </c>
      <c r="F22" s="195">
        <v>92</v>
      </c>
      <c r="G22" s="70" t="s">
        <v>36</v>
      </c>
      <c r="H22" s="72" t="s">
        <v>73</v>
      </c>
      <c r="I22" s="74">
        <v>0.17</v>
      </c>
      <c r="J22" s="76">
        <v>1399</v>
      </c>
      <c r="K22" s="79" t="str">
        <f>HYPERLINK("https://amzn.to/2ywcbw1","link*")</f>
        <v>link*</v>
      </c>
      <c r="L22" s="79" t="str">
        <f>HYPERLINK("https://www.bhphotovideo.com/c/product/1435887-REG/sony_fe_24mm_f_1_4_gm.html/BI/19619/KBID/12129/DFF/d10-v21-t1-x915647/SID/EZ","link*")</f>
        <v>link*</v>
      </c>
      <c r="M22" s="79" t="str">
        <f>HYPERLINK("https://amzn.to/2L2tV9y","link*")</f>
        <v>link*</v>
      </c>
      <c r="N22" s="79" t="str">
        <f>HYPERLINK("https://amzn.to/338yg28","link*")</f>
        <v>link*</v>
      </c>
      <c r="O22" s="84">
        <v>25</v>
      </c>
      <c r="P22" s="70" t="s">
        <v>27</v>
      </c>
      <c r="Q22" s="74">
        <v>11</v>
      </c>
      <c r="R22" s="136" t="s">
        <v>28</v>
      </c>
      <c r="S22" s="74" t="s">
        <v>41</v>
      </c>
      <c r="T22" s="88">
        <v>43374</v>
      </c>
    </row>
    <row r="23" spans="1:22" ht="13" hidden="1">
      <c r="A23" s="58" t="s">
        <v>121</v>
      </c>
      <c r="B23" s="60">
        <v>665</v>
      </c>
      <c r="C23" s="62">
        <v>24</v>
      </c>
      <c r="D23" s="192">
        <v>1.4</v>
      </c>
      <c r="E23" s="194">
        <v>85</v>
      </c>
      <c r="F23" s="195">
        <v>90</v>
      </c>
      <c r="G23" s="74" t="s">
        <v>36</v>
      </c>
      <c r="H23" s="72" t="s">
        <v>80</v>
      </c>
      <c r="I23" s="74">
        <v>0.19</v>
      </c>
      <c r="J23" s="76">
        <v>849</v>
      </c>
      <c r="K23" s="79" t="str">
        <f>HYPERLINK("https://amzn.to/2Isw2Rv","link*")</f>
        <v>link*</v>
      </c>
      <c r="L23" s="79" t="str">
        <f>HYPERLINK("https://www.bhphotovideo.com/c/product/1393491-REG/sigma_24mm_f_1_4_dg_hsm.html/BI/19619/KBID/12129/kw/SI2414SO/DFF/d10-v2-t1-xSI2414SO","link*")</f>
        <v>link*</v>
      </c>
      <c r="M23" s="79" t="str">
        <f>HYPERLINK("https://amzn.to/2K7sIP4","link*")</f>
        <v>link*</v>
      </c>
      <c r="N23" s="79"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O23" s="84">
        <v>25</v>
      </c>
      <c r="P23" s="70" t="s">
        <v>27</v>
      </c>
      <c r="Q23" s="74">
        <v>9</v>
      </c>
      <c r="R23" s="112">
        <v>43784</v>
      </c>
      <c r="S23" s="74" t="s">
        <v>47</v>
      </c>
      <c r="T23" s="88">
        <v>43221</v>
      </c>
      <c r="U23" s="77" t="s">
        <v>48</v>
      </c>
    </row>
    <row r="24" spans="1:22" ht="13" hidden="1">
      <c r="A24" s="126" t="str">
        <f>HYPERLINK("https://phillipreeve.net/blog/review-samyang-af-2-4-28-fe-at-least-its-small/","Samyang AF 24mm F/2.8")</f>
        <v>Samyang AF 24mm F/2.8</v>
      </c>
      <c r="B24" s="60">
        <v>93</v>
      </c>
      <c r="C24" s="62">
        <v>24</v>
      </c>
      <c r="D24" s="64">
        <v>2.8</v>
      </c>
      <c r="E24" s="194">
        <v>61</v>
      </c>
      <c r="F24" s="176">
        <v>37</v>
      </c>
      <c r="G24" s="70" t="s">
        <v>36</v>
      </c>
      <c r="H24" s="72" t="s">
        <v>124</v>
      </c>
      <c r="I24" s="74">
        <v>0.15</v>
      </c>
      <c r="J24" s="184">
        <v>279</v>
      </c>
      <c r="K24" s="79" t="str">
        <f>HYPERLINK("https://amzn.to/2NEHZ7c","link*")</f>
        <v>link*</v>
      </c>
      <c r="L24" s="79" t="str">
        <f>HYPERLINK("https://www.bhphotovideo.com/c/product/1413350-REG/samyang_syio24af_e_af_24mm_f_2_8_fe.html/BI/19619/KBID/12129/kw/SASYIO24AFE/DFF/d10-v2-t1-xSASYIO24AFE","link*")</f>
        <v>link*</v>
      </c>
      <c r="M24" s="79" t="str">
        <f>HYPERLINK("https://amzn.to/2Onv1QE","link*")</f>
        <v>link*</v>
      </c>
      <c r="N24"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24" s="84">
        <v>20</v>
      </c>
      <c r="P24" s="70" t="s">
        <v>27</v>
      </c>
      <c r="Q24" s="74">
        <v>9</v>
      </c>
      <c r="R24" s="136" t="s">
        <v>127</v>
      </c>
      <c r="S24" s="74" t="s">
        <v>38</v>
      </c>
      <c r="T24" s="88">
        <v>43282</v>
      </c>
    </row>
    <row r="25" spans="1:22" ht="13" hidden="1">
      <c r="A25" s="196" t="str">
        <f>HYPERLINK("https://phillipreeve.net/blog/review-sony-fe-2-824-70mm-gm/","Sony GM 2.8/24-70")</f>
        <v>Sony GM 2.8/24-70</v>
      </c>
      <c r="B25" s="60">
        <v>886</v>
      </c>
      <c r="C25" s="62">
        <v>24</v>
      </c>
      <c r="D25" s="64">
        <v>2.8</v>
      </c>
      <c r="E25" s="194">
        <v>88</v>
      </c>
      <c r="F25" s="176">
        <v>136</v>
      </c>
      <c r="G25" s="70" t="s">
        <v>36</v>
      </c>
      <c r="H25" s="72" t="s">
        <v>68</v>
      </c>
      <c r="I25" s="201">
        <v>0.25</v>
      </c>
      <c r="J25" s="76">
        <v>2199</v>
      </c>
      <c r="K25" s="79" t="str">
        <f>HYPERLINK("https://amzn.to/2STHavK","link*")</f>
        <v>link*</v>
      </c>
      <c r="L25" s="79" t="str">
        <f>HYPERLINK("https://www.bhphotovideo.com/c/search?Ntt=gm%2024-70&amp;N=0&amp;InitialSearch=yes&amp;sts=ma&amp;Top+Nav-Search=&amp;BI=19619&amp;KBID=12129&amp;KWID=EZ","link*")</f>
        <v>link*</v>
      </c>
      <c r="M25" s="79" t="str">
        <f>HYPERLINK("https://amzn.to/2ZwoyU7","link*")</f>
        <v>link*</v>
      </c>
      <c r="N25"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25" s="84">
        <v>38</v>
      </c>
      <c r="P25" s="70" t="s">
        <v>27</v>
      </c>
      <c r="Q25" s="74">
        <v>11</v>
      </c>
      <c r="R25" s="136" t="s">
        <v>54</v>
      </c>
      <c r="S25" s="74" t="s">
        <v>41</v>
      </c>
      <c r="T25" s="88">
        <v>42401</v>
      </c>
    </row>
    <row r="26" spans="1:22" ht="13" hidden="1">
      <c r="A26" s="58" t="s">
        <v>129</v>
      </c>
      <c r="B26" s="60">
        <v>780</v>
      </c>
      <c r="C26" s="62">
        <v>24</v>
      </c>
      <c r="D26" s="64" t="s">
        <v>130</v>
      </c>
      <c r="E26" s="194">
        <v>80</v>
      </c>
      <c r="F26" s="176">
        <v>119</v>
      </c>
      <c r="G26" s="70" t="s">
        <v>36</v>
      </c>
      <c r="H26" s="72" t="s">
        <v>64</v>
      </c>
      <c r="I26" s="201">
        <v>0.27</v>
      </c>
      <c r="J26" s="76">
        <v>998</v>
      </c>
      <c r="K26" s="79" t="str">
        <f>HYPERLINK("http://amzn.to/2fbX5FU","link*")</f>
        <v>link*</v>
      </c>
      <c r="L26" s="79" t="str">
        <f>HYPERLINK("https://www.bhphotovideo.com/c/search?Ntt=sony%2024-240&amp;N=0&amp;InitialSearch=yes&amp;sts=ma&amp;Top+Nav-Search=&amp;BI=19619&amp;KBID=12129&amp;KWID=EZ","link*")</f>
        <v>link*</v>
      </c>
      <c r="M26" s="79" t="str">
        <f>HYPERLINK("http://amzn.to/2wyrL7A","link*")</f>
        <v>link*</v>
      </c>
      <c r="N26"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26" s="84">
        <v>50</v>
      </c>
      <c r="P26" s="134" t="s">
        <v>66</v>
      </c>
      <c r="Q26" s="74">
        <v>7</v>
      </c>
      <c r="R26" s="136" t="s">
        <v>133</v>
      </c>
      <c r="S26" s="74" t="s">
        <v>41</v>
      </c>
      <c r="T26" s="88">
        <v>42064</v>
      </c>
    </row>
    <row r="27" spans="1:22" ht="13" hidden="1">
      <c r="A27" s="58" t="s">
        <v>134</v>
      </c>
      <c r="B27" s="60">
        <v>663</v>
      </c>
      <c r="C27" s="62">
        <v>24</v>
      </c>
      <c r="D27" s="64">
        <v>4</v>
      </c>
      <c r="E27" s="194">
        <v>83</v>
      </c>
      <c r="F27" s="195">
        <v>113</v>
      </c>
      <c r="G27" s="70" t="s">
        <v>36</v>
      </c>
      <c r="H27" s="72" t="s">
        <v>80</v>
      </c>
      <c r="I27" s="201">
        <v>0.31</v>
      </c>
      <c r="J27" s="76">
        <v>1398</v>
      </c>
      <c r="K27" s="79" t="str">
        <f>HYPERLINK("https://amzn.to/2K7LwMR","link*")</f>
        <v>link*</v>
      </c>
      <c r="L27" s="79" t="str">
        <f>HYPERLINK("https://www.bhphotovideo.com/c/search?Ntt=sony%2024-105&amp;N=0&amp;InitialSearch=yes&amp;sts=ma&amp;Top+Nav-Search=&amp;BI=19619&amp;KBID=12129&amp;KWID=EZ","link*")</f>
        <v>link*</v>
      </c>
      <c r="M27" s="79" t="str">
        <f>HYPERLINK("https://amzn.to/2Ld8hOS","link*")</f>
        <v>link*</v>
      </c>
      <c r="N27"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27" s="84">
        <v>38</v>
      </c>
      <c r="P27" s="134" t="s">
        <v>66</v>
      </c>
      <c r="Q27" s="74">
        <v>9</v>
      </c>
      <c r="R27" s="136" t="s">
        <v>135</v>
      </c>
      <c r="S27" s="74" t="s">
        <v>41</v>
      </c>
      <c r="T27" s="88">
        <v>43009</v>
      </c>
    </row>
    <row r="28" spans="1:22" ht="13" hidden="1">
      <c r="A28" s="126" t="str">
        <f>HYPERLINK("https://phillipreeve.net/blog/rolling-review-carl-zeiss-vario-tessar-t-fe-424-70-za/","Sony ZA 4/24-70 OSS")</f>
        <v>Sony ZA 4/24-70 OSS</v>
      </c>
      <c r="B28" s="60">
        <v>426</v>
      </c>
      <c r="C28" s="62">
        <v>24</v>
      </c>
      <c r="D28" s="64">
        <v>4</v>
      </c>
      <c r="E28" s="194">
        <v>73</v>
      </c>
      <c r="F28" s="195">
        <v>95</v>
      </c>
      <c r="G28" s="70" t="s">
        <v>36</v>
      </c>
      <c r="H28" s="72" t="s">
        <v>73</v>
      </c>
      <c r="I28" s="74">
        <v>0.2</v>
      </c>
      <c r="J28" s="76">
        <v>898</v>
      </c>
      <c r="K28" s="79" t="str">
        <f>HYPERLINK("http://amzn.to/2vlG2Yq","link*")</f>
        <v>link*</v>
      </c>
      <c r="L28" s="79" t="str">
        <f>HYPERLINK("https://www.bhphotovideo.com/c/product/1008126-REG/sony_sel2470z_vario_tessar_t_fe_24_70mm.html/BI/19619/KBID/12129/DFF/d10-v21-t1-x466842/SID/EZ","link*")</f>
        <v>link*</v>
      </c>
      <c r="M28" s="79" t="str">
        <f>HYPERLINK("http://amzn.to/2fl1XZk","link*")</f>
        <v>link*</v>
      </c>
      <c r="N28" s="79"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28" s="84">
        <v>40</v>
      </c>
      <c r="P28" s="134" t="s">
        <v>66</v>
      </c>
      <c r="Q28" s="74">
        <v>7</v>
      </c>
      <c r="R28" s="136" t="s">
        <v>43</v>
      </c>
      <c r="S28" s="74" t="s">
        <v>41</v>
      </c>
      <c r="T28" s="88">
        <v>41640</v>
      </c>
    </row>
    <row r="29" spans="1:22" ht="13" hidden="1">
      <c r="A29" s="126" t="str">
        <f>HYPERLINK("https://phillipreeve.net/blog/review-zeiss-batis-distagon-t-25mm-f2/","Zeiss Batis 2/25")</f>
        <v>Zeiss Batis 2/25</v>
      </c>
      <c r="B29" s="60">
        <v>335</v>
      </c>
      <c r="C29" s="62">
        <v>25</v>
      </c>
      <c r="D29" s="64">
        <v>2</v>
      </c>
      <c r="E29" s="194">
        <v>92</v>
      </c>
      <c r="F29" s="195">
        <v>78</v>
      </c>
      <c r="G29" s="70" t="s">
        <v>36</v>
      </c>
      <c r="H29" s="72" t="s">
        <v>73</v>
      </c>
      <c r="I29" s="74">
        <v>0.19</v>
      </c>
      <c r="J29" s="76">
        <v>1299</v>
      </c>
      <c r="K29" s="79" t="str">
        <f>HYPERLINK("https://amzn.to/2ypHQiT","link*")</f>
        <v>link*</v>
      </c>
      <c r="L29" s="79" t="str">
        <f>HYPERLINK("https://www.bhphotovideo.com/c/product/1140832-REG/zeiss_2103_750_25mm_f_2_0_batis_wide.html/BI/19619/KBID/12129/DFF/d10-v21-t1-x627141/SID/EZ","link*")</f>
        <v>link*</v>
      </c>
      <c r="M29" s="79" t="str">
        <f>HYPERLINK("https://amzn.to/2L20DIj","link*")</f>
        <v>link*</v>
      </c>
      <c r="N29" s="7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29" s="84">
        <v>20</v>
      </c>
      <c r="P29" s="70" t="s">
        <v>27</v>
      </c>
      <c r="Q29" s="74">
        <v>9</v>
      </c>
      <c r="R29" s="136" t="s">
        <v>140</v>
      </c>
      <c r="S29" s="74" t="s">
        <v>87</v>
      </c>
      <c r="T29" s="88">
        <v>42125</v>
      </c>
    </row>
    <row r="30" spans="1:22" ht="13" hidden="1">
      <c r="A30" s="120" t="s">
        <v>67</v>
      </c>
      <c r="B30" s="21">
        <v>680</v>
      </c>
      <c r="C30" s="23">
        <v>16</v>
      </c>
      <c r="D30" s="25">
        <v>2.8</v>
      </c>
      <c r="E30" s="122">
        <v>89</v>
      </c>
      <c r="F30" s="123">
        <v>122</v>
      </c>
      <c r="G30" s="39" t="s">
        <v>36</v>
      </c>
      <c r="H30" s="33" t="s">
        <v>68</v>
      </c>
      <c r="I30" s="35">
        <v>0.19</v>
      </c>
      <c r="J30" s="37">
        <v>28</v>
      </c>
      <c r="K30" s="39" t="s">
        <v>27</v>
      </c>
      <c r="L30" s="35">
        <v>11</v>
      </c>
      <c r="M30" s="162" t="s">
        <v>72</v>
      </c>
      <c r="N30" s="35" t="s">
        <v>41</v>
      </c>
      <c r="O30" s="42">
        <v>42856</v>
      </c>
      <c r="P30" s="44">
        <v>2199</v>
      </c>
      <c r="Q30" s="44">
        <v>1800</v>
      </c>
      <c r="R30" s="47" t="str">
        <f>HYPERLINK("https://amzn.to/2SR0IRl","link*")</f>
        <v>link*</v>
      </c>
      <c r="S30" s="47" t="str">
        <f>HYPERLINK("https://www.bhphotovideo.com/c/product/1338516-REG/sony_sel1635gm_fe_16_35mm_f_2_8_gm.html/BI/19619/KBID/12129/DFF/d10-v21-t1-x822837/SID/EZ","link*")</f>
        <v>link*</v>
      </c>
      <c r="T30" s="47" t="str">
        <f>HYPERLINK("https://amzn.to/2T1ZxOU","link*")</f>
        <v>link*</v>
      </c>
      <c r="U30" s="47"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V30" s="130"/>
    </row>
    <row r="31" spans="1:22" ht="13" hidden="1">
      <c r="A31" s="58" t="s">
        <v>141</v>
      </c>
      <c r="B31" s="60">
        <v>965</v>
      </c>
      <c r="C31" s="62">
        <v>28</v>
      </c>
      <c r="D31" s="64">
        <v>1.4</v>
      </c>
      <c r="E31" s="194">
        <v>83</v>
      </c>
      <c r="F31" s="195">
        <v>134</v>
      </c>
      <c r="G31" s="70" t="s">
        <v>36</v>
      </c>
      <c r="H31" s="72" t="s">
        <v>80</v>
      </c>
      <c r="I31" s="74">
        <v>0.19</v>
      </c>
      <c r="J31" s="76">
        <v>1399</v>
      </c>
      <c r="K31" s="79" t="str">
        <f>HYPERLINK("https://amzn.to/2Wn0pxO","link*")</f>
        <v>link*</v>
      </c>
      <c r="L31" s="79" t="str">
        <f>HYPERLINK("https://www.bhphotovideo.com/c/product/1436285-REG/sigma_28mm_f_1_4_dg_hsm.html/BI/19619/KBID/12129/kw/SI2814DGSE/DFF/d10-v2-t1-xSI2814DGSE","link*")</f>
        <v>link*</v>
      </c>
      <c r="M31" s="79" t="str">
        <f>HYPERLINK("https://amzn.to/2WzVkHd","link*")</f>
        <v>link*</v>
      </c>
      <c r="N31" s="79"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c r="O31" s="84">
        <v>28</v>
      </c>
      <c r="P31" s="70" t="s">
        <v>27</v>
      </c>
      <c r="Q31" s="74">
        <v>9</v>
      </c>
      <c r="R31" s="136" t="s">
        <v>133</v>
      </c>
      <c r="S31" s="74" t="s">
        <v>47</v>
      </c>
      <c r="T31" s="88">
        <v>43435</v>
      </c>
    </row>
    <row r="32" spans="1:22" ht="13" hidden="1">
      <c r="A32" s="126" t="str">
        <f>HYPERLINK("https://www.systemkamera-forum.de/blog/2015/05/sony-fe-28mm-f2-test-und-erfahrungsbericht/","Sony FE 2/28")</f>
        <v>Sony FE 2/28</v>
      </c>
      <c r="B32" s="60">
        <v>200</v>
      </c>
      <c r="C32" s="62">
        <v>28</v>
      </c>
      <c r="D32" s="64">
        <v>2</v>
      </c>
      <c r="E32" s="194">
        <v>60</v>
      </c>
      <c r="F32" s="195">
        <v>60</v>
      </c>
      <c r="G32" s="70" t="s">
        <v>36</v>
      </c>
      <c r="H32" s="72" t="s">
        <v>124</v>
      </c>
      <c r="I32" s="74">
        <v>0.13</v>
      </c>
      <c r="J32" s="156">
        <v>448</v>
      </c>
      <c r="K32" s="79" t="str">
        <f>HYPERLINK("https://amzn.to/2GXJWdo","link*")</f>
        <v>link*</v>
      </c>
      <c r="L32" s="79" t="str">
        <f>HYPERLINK("https://www.bhphotovideo.com/c/product/1402637-REG/sony_fe_28mm_f_2_lens.html/BI/19619/KBID/12129/kw/SO2820F/DFF/d10-v2-t1-xSO2820F","link*")</f>
        <v>link*</v>
      </c>
      <c r="M32" s="79" t="str">
        <f>HYPERLINK("http://amzn.to/2wyLOCO","link*")</f>
        <v>link*</v>
      </c>
      <c r="N32" s="79"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32" s="84">
        <v>29</v>
      </c>
      <c r="P32" s="70" t="s">
        <v>27</v>
      </c>
      <c r="Q32" s="74">
        <v>9</v>
      </c>
      <c r="R32" s="136" t="s">
        <v>91</v>
      </c>
      <c r="S32" s="74" t="s">
        <v>41</v>
      </c>
      <c r="T32" s="88">
        <v>42064</v>
      </c>
    </row>
    <row r="33" spans="1:22" ht="13" hidden="1">
      <c r="A33" s="126" t="str">
        <f>HYPERLINK("https://phillipreeve.net/blog/review-tamron-28-75mm-f-2-8-di-iii-rxd-sony-e-mount/","Tamron 2.8/28-75")</f>
        <v>Tamron 2.8/28-75</v>
      </c>
      <c r="B33" s="60">
        <v>550</v>
      </c>
      <c r="C33" s="62">
        <v>28</v>
      </c>
      <c r="D33" s="64">
        <v>2.8</v>
      </c>
      <c r="E33" s="194">
        <v>73</v>
      </c>
      <c r="F33" s="195">
        <v>118</v>
      </c>
      <c r="G33" s="70" t="s">
        <v>36</v>
      </c>
      <c r="H33" s="72" t="s">
        <v>73</v>
      </c>
      <c r="I33" s="201">
        <v>0.34</v>
      </c>
      <c r="J33" s="156">
        <v>879</v>
      </c>
      <c r="K33" s="79" t="str">
        <f>HYPERLINK("https://amzn.to/2ST5uxq","link*")</f>
        <v>link*</v>
      </c>
      <c r="L33" s="79" t="str">
        <f>HYPERLINK("https://www.bhphotovideo.com/c/product/1393332-REG/tamron_a036_28_75mm_f_2_8_di_iii.html/BI/19619/KBID/12129/DFF/d10-v21-t1-x892059/SID/EZ","link*")</f>
        <v>link*</v>
      </c>
      <c r="M33" s="79" t="str">
        <f>HYPERLINK("https://amzn.to/2ZmSzdU","link*")</f>
        <v>link*</v>
      </c>
      <c r="N33" s="79"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33" s="84">
        <v>19</v>
      </c>
      <c r="P33" s="70" t="s">
        <v>27</v>
      </c>
      <c r="Q33" s="74">
        <v>9</v>
      </c>
      <c r="R33" s="136" t="s">
        <v>122</v>
      </c>
      <c r="S33" s="74" t="s">
        <v>78</v>
      </c>
      <c r="T33" s="88">
        <v>43252</v>
      </c>
    </row>
    <row r="34" spans="1:22" ht="13" hidden="1">
      <c r="A34" s="58" t="s">
        <v>145</v>
      </c>
      <c r="B34" s="60">
        <v>295</v>
      </c>
      <c r="C34" s="62">
        <v>28</v>
      </c>
      <c r="D34" s="64" t="s">
        <v>146</v>
      </c>
      <c r="E34" s="194">
        <v>73</v>
      </c>
      <c r="F34" s="195">
        <v>83</v>
      </c>
      <c r="G34" s="70" t="s">
        <v>36</v>
      </c>
      <c r="H34" s="72" t="s">
        <v>147</v>
      </c>
      <c r="I34" s="74">
        <v>0.19</v>
      </c>
      <c r="J34" s="76">
        <v>398</v>
      </c>
      <c r="K34" s="79" t="str">
        <f>HYPERLINK("https://www.amazon.com/gp/product/B00FYOFADE/ref=as_li_tl?ie=UTF8&amp;tag=wwwphillipree-20&amp;camp=1789&amp;creative=9325&amp;linkCode=as2&amp;creativeASIN=B00FYOFADE&amp;linkId=96720b245156eae53bb1a672d4453d3f","link*")</f>
        <v>link*</v>
      </c>
      <c r="L34" s="79" t="str">
        <f>HYPERLINK("https://www.bhphotovideo.com/c/product/1015472-REG/sony_sel2870_fe_28_70mm_f_3_5_5_6_oss.html/BI/19619/KBID/12129/DFF/d10-v21-t1-x473993/SID/EZ","link*")</f>
        <v>link*</v>
      </c>
      <c r="M34" s="79" t="str">
        <f>HYPERLINK("https://www.amazon.de/gp/product/B00HSHFPD0/ref=as_li_tl?ie=UTF8&amp;tag=wwwphillipree-21&amp;camp=1638&amp;creative=6742&amp;linkCode=as2&amp;creativeASIN=B00HSHFPD0&amp;linkId=6701f30673f8a4071232ca85e1953506","link*")</f>
        <v>link*</v>
      </c>
      <c r="N34" s="79"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34" s="84">
        <v>30</v>
      </c>
      <c r="P34" s="134" t="s">
        <v>66</v>
      </c>
      <c r="Q34" s="74">
        <v>7</v>
      </c>
      <c r="R34" s="136" t="s">
        <v>91</v>
      </c>
      <c r="S34" s="74" t="s">
        <v>41</v>
      </c>
      <c r="T34" s="88">
        <v>41548</v>
      </c>
    </row>
    <row r="35" spans="1:22" ht="13" hidden="1">
      <c r="A35" s="58" t="s">
        <v>151</v>
      </c>
      <c r="B35" s="60">
        <v>1215</v>
      </c>
      <c r="C35" s="62">
        <v>28</v>
      </c>
      <c r="D35" s="64">
        <v>4</v>
      </c>
      <c r="E35" s="194">
        <v>105</v>
      </c>
      <c r="F35" s="195">
        <v>165</v>
      </c>
      <c r="G35" s="70" t="s">
        <v>36</v>
      </c>
      <c r="H35" s="234" t="s">
        <v>152</v>
      </c>
      <c r="I35" s="125"/>
      <c r="J35" s="76">
        <v>249</v>
      </c>
      <c r="K35" s="79" t="str">
        <f>HYPERLINK("http://amzn.to/2v2kiy9","link*")</f>
        <v>link*</v>
      </c>
      <c r="L35" s="79" t="str">
        <f>HYPERLINK("https://www.bhphotovideo.com/c/product/1082051-REG/sony_selp28135g_e_pz_28_135mm_f_4.html/BI/19619/KBID/12129/DFF/d10-v21-t1-x556056/SID/EZ","link*")</f>
        <v>link*</v>
      </c>
      <c r="M35" s="79" t="str">
        <f>HYPERLINK("http://amzn.to/2wlpg9b","link*")</f>
        <v>link*</v>
      </c>
      <c r="N35" s="79"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35" s="84">
        <v>40</v>
      </c>
      <c r="P35" s="134" t="s">
        <v>66</v>
      </c>
      <c r="Q35" s="74">
        <v>9</v>
      </c>
      <c r="R35" s="136" t="s">
        <v>153</v>
      </c>
      <c r="S35" s="74" t="s">
        <v>41</v>
      </c>
      <c r="T35" s="88">
        <v>41883</v>
      </c>
      <c r="U35" s="77" t="s">
        <v>154</v>
      </c>
    </row>
    <row r="36" spans="1:22" ht="15.75" hidden="1" customHeight="1">
      <c r="A36" s="126" t="str">
        <f>HYPERLINK("https://phillipreeve.net/blog/review-sigma-35mm-1-2-art-dg-dn/","Sigma Art 1.2/35")</f>
        <v>Sigma Art 1.2/35</v>
      </c>
      <c r="B36" s="60">
        <v>1090</v>
      </c>
      <c r="C36" s="62">
        <v>35</v>
      </c>
      <c r="D36" s="235">
        <v>1.2</v>
      </c>
      <c r="E36" s="194">
        <v>88</v>
      </c>
      <c r="F36" s="195">
        <v>136</v>
      </c>
      <c r="G36" s="74" t="s">
        <v>36</v>
      </c>
      <c r="H36" s="236" t="s">
        <v>68</v>
      </c>
      <c r="I36" s="74">
        <v>0.19</v>
      </c>
      <c r="J36" s="76">
        <v>1499</v>
      </c>
      <c r="K36" s="79" t="str">
        <f>HYPERLINK("https://amzn.to/2LiHhxc","link*")</f>
        <v>link*</v>
      </c>
      <c r="L36" s="79" t="str">
        <f>HYPERLINK("https://www.bhphotovideo.com/c/product/1492967-REG/sigma_341969_35mm_f_1_2_dg_dn.html/BI/19619/KBID/12129/DFF/d10-v21-t1-x976038/SID/EZ","link*")</f>
        <v>link*</v>
      </c>
      <c r="M36" s="113"/>
      <c r="N36" s="79"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c r="O36" s="84">
        <v>30</v>
      </c>
      <c r="P36" s="70" t="s">
        <v>27</v>
      </c>
      <c r="Q36" s="74">
        <v>11</v>
      </c>
      <c r="R36" s="112">
        <v>43816</v>
      </c>
      <c r="S36" s="74" t="s">
        <v>47</v>
      </c>
      <c r="T36" s="88">
        <v>43647</v>
      </c>
    </row>
    <row r="37" spans="1:22" ht="13" hidden="1">
      <c r="A37" s="126" t="str">
        <f>HYPERLINK("https://phillipreeve.net/blog/review-sony-fe-35mm-1-4-za/","Sony ZA 1.4/35")</f>
        <v>Sony ZA 1.4/35</v>
      </c>
      <c r="B37" s="60">
        <v>630</v>
      </c>
      <c r="C37" s="62">
        <v>35</v>
      </c>
      <c r="D37" s="64">
        <v>1.4</v>
      </c>
      <c r="E37" s="194">
        <v>79</v>
      </c>
      <c r="F37" s="195">
        <v>112</v>
      </c>
      <c r="G37" s="74" t="s">
        <v>36</v>
      </c>
      <c r="H37" s="72" t="s">
        <v>64</v>
      </c>
      <c r="I37" s="74">
        <v>0.18</v>
      </c>
      <c r="J37" s="76">
        <v>1599</v>
      </c>
      <c r="K37" s="79" t="str">
        <f>HYPERLINK("https://amzn.to/2LRSMOS","link*")</f>
        <v>link*</v>
      </c>
      <c r="L37" s="79" t="str">
        <f>HYPERLINK("https://www.bhphotovideo.com/c/product/1126137-REG/sony_sel35f14z_distagon_t_fe_35mm.html/BI/19619/KBID/12129/DFF/d10-v21-t1-x612725/SID/EZ","link*")</f>
        <v>link*</v>
      </c>
      <c r="M37" s="79" t="str">
        <f>HYPERLINK("https://amzn.to/2ZmfSnX","link*")</f>
        <v>link*</v>
      </c>
      <c r="N37" s="79"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37" s="84">
        <v>30</v>
      </c>
      <c r="P37" s="70" t="s">
        <v>27</v>
      </c>
      <c r="Q37" s="74">
        <v>9</v>
      </c>
      <c r="R37" s="112">
        <v>43689</v>
      </c>
      <c r="S37" s="74" t="s">
        <v>41</v>
      </c>
      <c r="T37" s="88">
        <v>42064</v>
      </c>
    </row>
    <row r="38" spans="1:22" ht="13" hidden="1">
      <c r="A38" s="58" t="s">
        <v>155</v>
      </c>
      <c r="B38" s="60">
        <v>645</v>
      </c>
      <c r="C38" s="62">
        <v>35</v>
      </c>
      <c r="D38" s="64">
        <v>1.4</v>
      </c>
      <c r="E38" s="194">
        <v>76</v>
      </c>
      <c r="F38" s="176">
        <v>115</v>
      </c>
      <c r="G38" s="74" t="s">
        <v>36</v>
      </c>
      <c r="H38" s="72" t="s">
        <v>73</v>
      </c>
      <c r="I38" s="74">
        <v>0.17</v>
      </c>
      <c r="J38" s="76">
        <v>799</v>
      </c>
      <c r="K38" s="79" t="str">
        <f>HYPERLINK("https://amzn.to/2K8DDXH","link*")</f>
        <v>link*</v>
      </c>
      <c r="L38" s="79" t="str">
        <f>HYPERLINK("https://www.bhphotovideo.com/c/product/1381712-REG/voigtlander_nokton_classic_35mm_f_1_4.html/BI/19619/KBID/12129/DFF/d10-v21-t1-x877353/SID/EZ","link*")</f>
        <v>link*</v>
      </c>
      <c r="M38" s="79" t="str">
        <f>HYPERLINK("https://amzn.to/2Zhl3FI","link*")</f>
        <v>link*</v>
      </c>
      <c r="N38" s="79"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38" s="84">
        <v>30</v>
      </c>
      <c r="P38" s="70" t="s">
        <v>27</v>
      </c>
      <c r="Q38" s="74">
        <v>9</v>
      </c>
      <c r="R38" s="112">
        <v>43719</v>
      </c>
      <c r="S38" s="74" t="s">
        <v>38</v>
      </c>
      <c r="T38" s="88">
        <v>43009</v>
      </c>
      <c r="U38" s="77" t="s">
        <v>156</v>
      </c>
    </row>
    <row r="39" spans="1:22" ht="13" hidden="1">
      <c r="A39" s="132" t="str">
        <f>HYPERLINK("https://phillipreeve.net/blog/review-tamron-17-28mm-f-2-8-di-iii-rxd/","Tamron 17-28mm f/2.8 Di III RXD")</f>
        <v>Tamron 17-28mm f/2.8 Di III RXD</v>
      </c>
      <c r="B39" s="133">
        <v>420</v>
      </c>
      <c r="C39" s="135">
        <v>17</v>
      </c>
      <c r="D39" s="137">
        <v>2.8</v>
      </c>
      <c r="E39" s="164">
        <v>73</v>
      </c>
      <c r="F39" s="166">
        <v>99</v>
      </c>
      <c r="G39" s="143" t="s">
        <v>36</v>
      </c>
      <c r="H39" s="145" t="s">
        <v>73</v>
      </c>
      <c r="I39" s="146">
        <v>0.19</v>
      </c>
      <c r="J39" s="147">
        <v>19</v>
      </c>
      <c r="K39" s="143" t="s">
        <v>27</v>
      </c>
      <c r="L39" s="146">
        <v>9</v>
      </c>
      <c r="M39" s="149" t="s">
        <v>77</v>
      </c>
      <c r="N39" s="146" t="s">
        <v>78</v>
      </c>
      <c r="O39" s="150">
        <v>43647</v>
      </c>
      <c r="P39" s="168">
        <v>899</v>
      </c>
      <c r="Q39" s="151">
        <v>700</v>
      </c>
      <c r="R39" s="154" t="str">
        <f>HYPERLINK("https://amzn.to/2Hv3AyB","link*")</f>
        <v>link*</v>
      </c>
      <c r="S39" s="154" t="str">
        <f>HYPERLINK("https://www.bhphotovideo.com/c/product/1461529-REG/tamron_a046_17_28mm_f_2_8_di_iii.html/BI/19619/KBID/12129/DFF/d10-v21-t1-x946694/SID/EZ","link*")</f>
        <v>link*</v>
      </c>
      <c r="T39" s="154" t="str">
        <f>HYPERLINK("https://amzn.to/2YkrkQB","link*")</f>
        <v>link*</v>
      </c>
      <c r="U39" s="154"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V39" s="130"/>
    </row>
    <row r="40" spans="1:22" ht="15.75" hidden="1" customHeight="1">
      <c r="A40" s="126" t="str">
        <f>HYPERLINK("https://phillipreeve.net/blog/review-sigma-35mm-1-4-art/","Sigma Art 1.4/35")</f>
        <v>Sigma Art 1.4/35</v>
      </c>
      <c r="B40" s="60">
        <v>740</v>
      </c>
      <c r="C40" s="62">
        <v>35</v>
      </c>
      <c r="D40" s="64">
        <v>1.4</v>
      </c>
      <c r="E40" s="194">
        <v>77</v>
      </c>
      <c r="F40" s="176">
        <v>94</v>
      </c>
      <c r="G40" s="74" t="s">
        <v>36</v>
      </c>
      <c r="H40" s="72" t="s">
        <v>73</v>
      </c>
      <c r="I40" s="74">
        <v>0.19</v>
      </c>
      <c r="J40" s="156">
        <v>899</v>
      </c>
      <c r="K40" s="79" t="str">
        <f>HYPERLINK("https://amzn.to/2LOaQcZ","link*")</f>
        <v>link*</v>
      </c>
      <c r="L40" s="79" t="str">
        <f>HYPERLINK("https://www.bhphotovideo.com/c/product/1393492-REG/sigma_35mm_f_1_4_dg_hsm.html/BI/19619/KBID/12129/DFF/d10-v21-t1-x881157/SID/EZ","link*")</f>
        <v>link*</v>
      </c>
      <c r="M40" s="79" t="str">
        <f>HYPERLINK("https://amzn.to/2ZrfakE","link*")</f>
        <v>link*</v>
      </c>
      <c r="N40" s="79"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O40" s="84">
        <v>30</v>
      </c>
      <c r="P40" s="70" t="s">
        <v>27</v>
      </c>
      <c r="Q40" s="74">
        <v>9</v>
      </c>
      <c r="R40" s="112">
        <v>43782</v>
      </c>
      <c r="S40" s="74" t="s">
        <v>47</v>
      </c>
      <c r="T40" s="88">
        <v>43221</v>
      </c>
      <c r="U40" s="77" t="s">
        <v>48</v>
      </c>
    </row>
    <row r="41" spans="1:22" ht="13" hidden="1">
      <c r="A41" s="58" t="s">
        <v>157</v>
      </c>
      <c r="B41" s="60">
        <v>280</v>
      </c>
      <c r="C41" s="62">
        <v>35</v>
      </c>
      <c r="D41" s="64">
        <v>1.8</v>
      </c>
      <c r="E41" s="194">
        <v>66</v>
      </c>
      <c r="F41" s="176">
        <v>73</v>
      </c>
      <c r="G41" s="74" t="s">
        <v>36</v>
      </c>
      <c r="H41" s="72" t="s">
        <v>147</v>
      </c>
      <c r="I41" s="239">
        <v>0.24</v>
      </c>
      <c r="J41" s="76">
        <v>749</v>
      </c>
      <c r="K41" s="113"/>
      <c r="L41" s="79" t="str">
        <f>HYPERLINK("https://www.bhphotovideo.com/c/product/1492866-REG/sony_sel35f18f_35mm_f_1_8_fe_lens.html/BI/19619/KBID/12129/DFF/d10-v21-t1-x975763/SID/EZ","link*")</f>
        <v>link*</v>
      </c>
      <c r="M41" s="79" t="str">
        <f>HYPERLINK("https://amzn.to/2PiATLC","link*")</f>
        <v>link*</v>
      </c>
      <c r="N41" s="79"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41" s="84">
        <v>22</v>
      </c>
      <c r="P41" s="70" t="s">
        <v>27</v>
      </c>
      <c r="Q41" s="74">
        <v>9</v>
      </c>
      <c r="R41" s="112">
        <v>43719</v>
      </c>
      <c r="S41" s="74" t="s">
        <v>41</v>
      </c>
      <c r="T41" s="88">
        <v>43647</v>
      </c>
    </row>
    <row r="42" spans="1:22" ht="13" hidden="1">
      <c r="A42" s="157" t="str">
        <f>HYPERLINK("https://phillipreeve.net/blog/review-zeiss-batis-18mm-2-8/","Zeiss Batis 2.8/18")</f>
        <v>Zeiss Batis 2.8/18</v>
      </c>
      <c r="B42" s="50">
        <v>330</v>
      </c>
      <c r="C42" s="68">
        <v>18</v>
      </c>
      <c r="D42" s="52">
        <v>2.8</v>
      </c>
      <c r="E42" s="78">
        <v>100</v>
      </c>
      <c r="F42" s="51">
        <v>80</v>
      </c>
      <c r="G42" s="73" t="s">
        <v>36</v>
      </c>
      <c r="H42" s="57" t="s">
        <v>80</v>
      </c>
      <c r="I42" s="59">
        <v>0.1</v>
      </c>
      <c r="J42" s="71">
        <v>25</v>
      </c>
      <c r="K42" s="73" t="s">
        <v>27</v>
      </c>
      <c r="L42" s="59">
        <v>9</v>
      </c>
      <c r="M42" s="75" t="s">
        <v>86</v>
      </c>
      <c r="N42" s="59" t="s">
        <v>87</v>
      </c>
      <c r="O42" s="83">
        <v>42491</v>
      </c>
      <c r="P42" s="61">
        <v>1499</v>
      </c>
      <c r="Q42" s="61">
        <v>1000</v>
      </c>
      <c r="R42" s="69" t="str">
        <f>HYPERLINK("https://amzn.to/2SRFBhL","link*")</f>
        <v>link*</v>
      </c>
      <c r="S42" s="69" t="str">
        <f>HYPERLINK("https://www.bhphotovideo.com/c/product/1243591-REG/zeiss_2136_691_batis_18mm_f_2_8_lens.html/BI/19619/KBID/12129/DFF/d10-v21-t1-x727488/SID/EZ","link*")</f>
        <v>link*</v>
      </c>
      <c r="T42" s="69" t="str">
        <f>HYPERLINK("https://amzn.to/334PqNT","link*")</f>
        <v>link*</v>
      </c>
      <c r="U42" s="6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row>
    <row r="43" spans="1:22" ht="13" hidden="1">
      <c r="A43" s="126" t="str">
        <f>HYPERLINK("http://www.photozone.de/sonyalphaff/865-zeiss35f28ff","Sony ZA 2.8/35")</f>
        <v>Sony ZA 2.8/35</v>
      </c>
      <c r="B43" s="60">
        <v>120</v>
      </c>
      <c r="C43" s="62">
        <v>35</v>
      </c>
      <c r="D43" s="64">
        <v>2.8</v>
      </c>
      <c r="E43" s="194">
        <v>62</v>
      </c>
      <c r="F43" s="195">
        <v>37</v>
      </c>
      <c r="G43" s="74" t="s">
        <v>36</v>
      </c>
      <c r="H43" s="72" t="s">
        <v>124</v>
      </c>
      <c r="I43" s="74">
        <v>0.12</v>
      </c>
      <c r="J43" s="76">
        <v>798</v>
      </c>
      <c r="K43" s="79" t="str">
        <f>HYPERLINK("https://amzn.to/2yvhL24","link*")</f>
        <v>link*</v>
      </c>
      <c r="L43" s="79" t="str">
        <f>HYPERLINK("https://www.bhphotovideo.com/c/product/1008123-REG/sony_sel35f28z_sonnar_t_fe_35mm.html/BI/19619/KBID/12129/DFF/d10-v21-t1-x466840/SID/EZ","link*")</f>
        <v>link*</v>
      </c>
      <c r="M43" s="113" t="s">
        <v>51</v>
      </c>
      <c r="N43" s="79"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43" s="84">
        <v>35</v>
      </c>
      <c r="P43" s="70" t="s">
        <v>27</v>
      </c>
      <c r="Q43" s="74">
        <v>9</v>
      </c>
      <c r="R43" s="112">
        <v>43592</v>
      </c>
      <c r="S43" s="74" t="s">
        <v>41</v>
      </c>
      <c r="T43" s="88">
        <v>41487</v>
      </c>
    </row>
    <row r="44" spans="1:22" ht="13" hidden="1">
      <c r="A44" s="58" t="s">
        <v>158</v>
      </c>
      <c r="B44" s="60">
        <v>86</v>
      </c>
      <c r="C44" s="62">
        <v>35</v>
      </c>
      <c r="D44" s="64">
        <v>2.8</v>
      </c>
      <c r="E44" s="194">
        <v>62</v>
      </c>
      <c r="F44" s="195">
        <v>33</v>
      </c>
      <c r="G44" s="74" t="s">
        <v>36</v>
      </c>
      <c r="H44" s="72" t="s">
        <v>124</v>
      </c>
      <c r="I44" s="74">
        <v>0.12</v>
      </c>
      <c r="J44" s="241">
        <v>399</v>
      </c>
      <c r="K44" s="79" t="str">
        <f>HYPERLINK("https://amzn.to/2MGKrxp","link*")</f>
        <v>link*</v>
      </c>
      <c r="L44" s="79" t="str">
        <f>HYPERLINK("https://www.bhphotovideo.com/c/product/1348365-REG/samyang_syio35af_e_35mm_f2_8_compact_wide.html/BI/19619/KBID/12129/DFF/d10-v21-t1-x832776/SID/EZ","link*")</f>
        <v>link*</v>
      </c>
      <c r="M44" s="113" t="s">
        <v>51</v>
      </c>
      <c r="N44" s="79"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44" s="84">
        <v>35</v>
      </c>
      <c r="P44" s="70" t="s">
        <v>27</v>
      </c>
      <c r="Q44" s="74">
        <v>9</v>
      </c>
      <c r="R44" s="112">
        <v>43623</v>
      </c>
      <c r="S44" s="74" t="s">
        <v>38</v>
      </c>
      <c r="T44" s="88">
        <v>42917</v>
      </c>
    </row>
    <row r="45" spans="1:22" ht="13" hidden="1">
      <c r="A45" s="172" t="s">
        <v>88</v>
      </c>
      <c r="B45" s="21">
        <v>145</v>
      </c>
      <c r="C45" s="23">
        <v>18</v>
      </c>
      <c r="D45" s="25">
        <v>2.8</v>
      </c>
      <c r="E45" s="122">
        <v>63.5</v>
      </c>
      <c r="F45" s="123">
        <v>60.5</v>
      </c>
      <c r="G45" s="39" t="s">
        <v>36</v>
      </c>
      <c r="H45" s="33" t="s">
        <v>71</v>
      </c>
      <c r="I45" s="35">
        <v>0.09</v>
      </c>
      <c r="J45" s="37">
        <v>25</v>
      </c>
      <c r="K45" s="39" t="s">
        <v>27</v>
      </c>
      <c r="L45" s="35">
        <v>7</v>
      </c>
      <c r="M45" s="162" t="s">
        <v>91</v>
      </c>
      <c r="N45" s="35" t="s">
        <v>38</v>
      </c>
      <c r="O45" s="42">
        <v>43723</v>
      </c>
      <c r="P45" s="44">
        <v>399</v>
      </c>
      <c r="Q45" s="44">
        <v>300</v>
      </c>
      <c r="R45" s="174"/>
      <c r="S45" s="47" t="str">
        <f>HYPERLINK("https://www.bhphotovideo.com/c/product/1503295-REG/samyang_syio18af_e_af_18mm_f_2_8_fe.html/BI/19619/KBID/12129/DFF/d10-v21-t1-x985623/SID/EZ","link*")</f>
        <v>link*</v>
      </c>
      <c r="T45" s="174"/>
      <c r="U45" s="174"/>
      <c r="V45" s="130"/>
    </row>
    <row r="46" spans="1:22" ht="13" hidden="1">
      <c r="A46" s="126" t="str">
        <f>HYPERLINK("https://phillipreeve.net/blog/review-sigma-40mm-1-4-art/","Sigma Art 1.4/40")</f>
        <v>Sigma Art 1.4/40</v>
      </c>
      <c r="B46" s="60">
        <v>1200</v>
      </c>
      <c r="C46" s="62">
        <v>40</v>
      </c>
      <c r="D46" s="64">
        <v>1.4</v>
      </c>
      <c r="E46" s="194">
        <v>88</v>
      </c>
      <c r="F46" s="176">
        <v>157</v>
      </c>
      <c r="G46" s="74" t="s">
        <v>36</v>
      </c>
      <c r="H46" s="244" t="s">
        <v>68</v>
      </c>
      <c r="I46" s="74">
        <v>0.15</v>
      </c>
      <c r="J46" s="76">
        <v>1399</v>
      </c>
      <c r="K46" s="79" t="str">
        <f>HYPERLINK("https://amzn.to/2SYXFXq","link*")</f>
        <v>link*</v>
      </c>
      <c r="L46" s="79" t="str">
        <f>HYPERLINK("https://www.bhphotovideo.com/c/product/1436292-REG/sigma_40mm_f_1_4_dg_hsm.html/BI/19619/KBID/12129/DFF/d10-v21-t1-x925196/SID/EZ","link*")</f>
        <v>link*</v>
      </c>
      <c r="M46" s="113" t="s">
        <v>51</v>
      </c>
      <c r="N46" s="79"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O46" s="84">
        <v>40</v>
      </c>
      <c r="P46" s="70" t="s">
        <v>27</v>
      </c>
      <c r="Q46" s="74">
        <v>9</v>
      </c>
      <c r="R46" s="112">
        <v>43815</v>
      </c>
      <c r="S46" s="74" t="s">
        <v>47</v>
      </c>
      <c r="T46" s="88">
        <v>43435</v>
      </c>
      <c r="U46" s="77" t="s">
        <v>48</v>
      </c>
    </row>
    <row r="47" spans="1:22" ht="13" hidden="1">
      <c r="A47" s="126" t="str">
        <f>HYPERLINK("https://phillipreeve.net/blog/review-zeiss-batis-2-40-cf/","Zeiss Batis 2/40 CF T*")</f>
        <v>Zeiss Batis 2/40 CF T*</v>
      </c>
      <c r="B47" s="60">
        <v>361</v>
      </c>
      <c r="C47" s="62">
        <v>40</v>
      </c>
      <c r="D47" s="64">
        <v>2</v>
      </c>
      <c r="E47" s="194">
        <v>91</v>
      </c>
      <c r="F47" s="176">
        <v>93</v>
      </c>
      <c r="G47" s="74" t="s">
        <v>36</v>
      </c>
      <c r="H47" s="72" t="s">
        <v>73</v>
      </c>
      <c r="I47" s="239">
        <v>0.3</v>
      </c>
      <c r="J47" s="76">
        <v>1299</v>
      </c>
      <c r="K47" s="79" t="str">
        <f>HYPERLINK("https://amzn.to/2LUN0MF","link*")</f>
        <v>link*</v>
      </c>
      <c r="L47" s="79" t="str">
        <f>HYPERLINK("https://www.bhphotovideo.com/c/product/1436738-REG/zeiss_000000_2239_137_batis_40mm_f_2_cf.html/BI/19619/KBID/12129/DFF/d10-v21-t1-x915694/SID/EZ","link*")</f>
        <v>link*</v>
      </c>
      <c r="M47" s="113" t="s">
        <v>51</v>
      </c>
      <c r="N47" s="79"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47" s="84">
        <v>24</v>
      </c>
      <c r="P47" s="70" t="s">
        <v>27</v>
      </c>
      <c r="Q47" s="74">
        <v>9</v>
      </c>
      <c r="R47" s="112">
        <v>43686</v>
      </c>
      <c r="S47" s="74" t="s">
        <v>87</v>
      </c>
      <c r="T47" s="88">
        <v>43435</v>
      </c>
      <c r="U47" s="77" t="s">
        <v>159</v>
      </c>
    </row>
    <row r="48" spans="1:22" ht="13" hidden="1">
      <c r="A48" s="58" t="s">
        <v>160</v>
      </c>
      <c r="B48" s="60">
        <v>162</v>
      </c>
      <c r="C48" s="62">
        <v>45</v>
      </c>
      <c r="D48" s="64">
        <v>1.8</v>
      </c>
      <c r="E48" s="194">
        <v>62</v>
      </c>
      <c r="F48" s="176">
        <v>56</v>
      </c>
      <c r="G48" s="74" t="s">
        <v>36</v>
      </c>
      <c r="H48" s="72" t="s">
        <v>124</v>
      </c>
      <c r="I48" s="74">
        <v>0.12</v>
      </c>
      <c r="J48" s="184">
        <v>399</v>
      </c>
      <c r="K48" s="79" t="str">
        <f>HYPERLINK("https://amzn.to/2YC6MST","link*")</f>
        <v>link*</v>
      </c>
      <c r="L48" s="79" t="str">
        <f>HYPERLINK("https://www.bhphotovideo.com/c/product/1478738-REG/samyang_af_45mm_f_1_8_fe.html/BI/19619/KBID/12129/DFF/d10-v21-t1-x964329/SID/EZ","link*")</f>
        <v>link*</v>
      </c>
      <c r="M48" s="113" t="s">
        <v>51</v>
      </c>
      <c r="N48" s="79"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48" s="84">
        <v>45</v>
      </c>
      <c r="P48" s="70" t="s">
        <v>27</v>
      </c>
      <c r="Q48" s="74">
        <v>9</v>
      </c>
      <c r="R48" s="112">
        <v>43623</v>
      </c>
      <c r="S48" s="74" t="s">
        <v>38</v>
      </c>
      <c r="T48" s="88">
        <v>43647</v>
      </c>
    </row>
    <row r="49" spans="1:22" ht="13" hidden="1">
      <c r="A49" s="58" t="s">
        <v>161</v>
      </c>
      <c r="B49" s="60">
        <v>215</v>
      </c>
      <c r="C49" s="62">
        <v>45</v>
      </c>
      <c r="D49" s="64">
        <v>2.8</v>
      </c>
      <c r="E49" s="194">
        <v>64</v>
      </c>
      <c r="F49" s="195">
        <v>46</v>
      </c>
      <c r="G49" s="74" t="s">
        <v>36</v>
      </c>
      <c r="H49" s="72" t="s">
        <v>147</v>
      </c>
      <c r="I49" s="201">
        <v>0.25</v>
      </c>
      <c r="J49" s="76">
        <v>549</v>
      </c>
      <c r="K49" s="79" t="str">
        <f>HYPERLINK("https://amzn.to/2SYEvAX","link*")</f>
        <v>link*</v>
      </c>
      <c r="L49" s="79" t="str">
        <f>HYPERLINK("https://www.bhphotovideo.com/c/product/1492966-REG/sigma_360965_45mm_f_2_8_dg_dn.html/BI/19619/KBID/12129/DFF/d10-v21-t1-x976020/SID/EZ","link*")</f>
        <v>link*</v>
      </c>
      <c r="M49" s="113" t="s">
        <v>51</v>
      </c>
      <c r="N49" s="79"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O49" s="84">
        <v>24</v>
      </c>
      <c r="P49" s="70" t="s">
        <v>27</v>
      </c>
      <c r="Q49" s="74">
        <v>7</v>
      </c>
      <c r="R49" s="112">
        <v>43654</v>
      </c>
      <c r="S49" s="74" t="s">
        <v>47</v>
      </c>
      <c r="T49" s="88">
        <v>43647</v>
      </c>
      <c r="U49" s="77" t="s">
        <v>162</v>
      </c>
    </row>
    <row r="50" spans="1:22" ht="13" hidden="1">
      <c r="A50" s="66" t="s">
        <v>92</v>
      </c>
      <c r="B50" s="50">
        <v>1050</v>
      </c>
      <c r="C50" s="68">
        <v>20</v>
      </c>
      <c r="D50" s="177">
        <v>1.4</v>
      </c>
      <c r="E50" s="78">
        <v>91</v>
      </c>
      <c r="F50" s="51">
        <v>155.80000000000001</v>
      </c>
      <c r="G50" s="59" t="s">
        <v>36</v>
      </c>
      <c r="H50" s="57" t="s">
        <v>26</v>
      </c>
      <c r="I50" s="59">
        <v>0.14000000000000001</v>
      </c>
      <c r="J50" s="71">
        <v>28</v>
      </c>
      <c r="K50" s="73" t="s">
        <v>27</v>
      </c>
      <c r="L50" s="59">
        <v>9</v>
      </c>
      <c r="M50" s="110">
        <v>43784</v>
      </c>
      <c r="N50" s="59" t="s">
        <v>47</v>
      </c>
      <c r="O50" s="83">
        <v>43221</v>
      </c>
      <c r="P50" s="61">
        <v>899</v>
      </c>
      <c r="Q50" s="61">
        <v>700</v>
      </c>
      <c r="R50" s="69" t="str">
        <f>HYPERLINK("https://amzn.to/2K4J7nh","link*")</f>
        <v>link*</v>
      </c>
      <c r="S50" s="69" t="str">
        <f>HYPERLINK("https://www.bhphotovideo.com/c/product/1393490-REG/sigma_20mm_f_1_4_dg_hsm.html/BI/19619/KBID/12129/DFF/d10-v21-t1-x881155/SID/EZ","link*")</f>
        <v>link*</v>
      </c>
      <c r="T50" s="69" t="str">
        <f>HYPERLINK("https://amzn.to/2Wy0d3F","link*")</f>
        <v>link*</v>
      </c>
      <c r="U50" s="69"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V50" s="77" t="s">
        <v>48</v>
      </c>
    </row>
    <row r="51" spans="1:22" ht="13" hidden="1">
      <c r="A51" s="58" t="s">
        <v>163</v>
      </c>
      <c r="B51" s="60">
        <v>778</v>
      </c>
      <c r="C51" s="62">
        <v>50</v>
      </c>
      <c r="D51" s="64">
        <v>1.4</v>
      </c>
      <c r="E51" s="194">
        <v>84</v>
      </c>
      <c r="F51" s="195">
        <v>108</v>
      </c>
      <c r="G51" s="74" t="s">
        <v>36</v>
      </c>
      <c r="H51" s="72" t="s">
        <v>64</v>
      </c>
      <c r="I51" s="74">
        <v>0.15</v>
      </c>
      <c r="J51" s="76">
        <v>1499</v>
      </c>
      <c r="K51" s="79" t="str">
        <f>HYPERLINK("https://amzn.to/2K88EL7","link*")</f>
        <v>link*</v>
      </c>
      <c r="L51" s="113" t="s">
        <v>51</v>
      </c>
      <c r="M51" s="113" t="s">
        <v>51</v>
      </c>
      <c r="N51" s="79"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51" s="84">
        <v>45</v>
      </c>
      <c r="P51" s="70" t="s">
        <v>27</v>
      </c>
      <c r="Q51" s="74">
        <v>11</v>
      </c>
      <c r="R51" s="112">
        <v>43720</v>
      </c>
      <c r="S51" s="74" t="s">
        <v>41</v>
      </c>
      <c r="T51" s="88">
        <v>42583</v>
      </c>
    </row>
    <row r="52" spans="1:22" ht="13" hidden="1">
      <c r="A52" s="58" t="s">
        <v>164</v>
      </c>
      <c r="B52" s="60">
        <v>815</v>
      </c>
      <c r="C52" s="62">
        <v>50</v>
      </c>
      <c r="D52" s="64">
        <v>1.4</v>
      </c>
      <c r="E52" s="194">
        <v>85</v>
      </c>
      <c r="F52" s="195">
        <v>100</v>
      </c>
      <c r="G52" s="74" t="s">
        <v>36</v>
      </c>
      <c r="H52" s="72" t="s">
        <v>80</v>
      </c>
      <c r="I52" s="74">
        <v>0.18</v>
      </c>
      <c r="J52" s="76">
        <v>949</v>
      </c>
      <c r="K52" s="79" t="str">
        <f>HYPERLINK("https://amzn.to/2K4JmyT","link*")</f>
        <v>link*</v>
      </c>
      <c r="L52" s="79" t="str">
        <f>HYPERLINK("https://www.bhphotovideo.com/c/product/1393493-REG/sigma_50mm_f_1_4_dg_hsm.html/BI/19619/KBID/12129/kw/SI5014SO/DFF/d10-v2-t1-xSI5014SO","link*")</f>
        <v>link*</v>
      </c>
      <c r="M52" s="79" t="str">
        <f>HYPERLINK("https://amzn.to/2Wpdoz5","link*")</f>
        <v>link*</v>
      </c>
      <c r="N52" s="79" t="e">
        <f>HYPERLINK("http://rover.ebay.com/rover/1/711-53200-19255-0/1?icep_ff3=9&amp;pub=5575076376&amp;toolid=10001&amp;campid=5338164340&amp;customid=&amp;icep_uq=sony+50+1.4+za+-ssm&amp;icep_sellerId=&amp;icep_ex_kw=&amp;icep_sortBy=12&amp;icep_catId=3323&amp;icep_minPrice=&amp;icep_maxPrice=&amp;ipn=psmain&amp;icep_vector"&amp;"id=229466&amp;kwid=902099&amp;mtid=824&amp;kw=lg","link*")</f>
        <v>#VALUE!</v>
      </c>
      <c r="O52" s="84">
        <v>40</v>
      </c>
      <c r="P52" s="70" t="s">
        <v>27</v>
      </c>
      <c r="Q52" s="74">
        <v>9</v>
      </c>
      <c r="R52" s="112">
        <v>43690</v>
      </c>
      <c r="S52" s="74" t="s">
        <v>47</v>
      </c>
      <c r="T52" s="88">
        <v>43221</v>
      </c>
      <c r="U52" s="77" t="s">
        <v>48</v>
      </c>
    </row>
    <row r="53" spans="1:22" ht="13" hidden="1">
      <c r="A53" s="58" t="s">
        <v>165</v>
      </c>
      <c r="B53" s="60">
        <v>585</v>
      </c>
      <c r="C53" s="62">
        <v>50</v>
      </c>
      <c r="D53" s="64">
        <v>1.4</v>
      </c>
      <c r="E53" s="194">
        <v>74</v>
      </c>
      <c r="F53" s="195">
        <v>98</v>
      </c>
      <c r="G53" s="74" t="s">
        <v>36</v>
      </c>
      <c r="H53" s="72" t="s">
        <v>73</v>
      </c>
      <c r="I53" s="74">
        <v>0.15</v>
      </c>
      <c r="J53" s="76">
        <v>699</v>
      </c>
      <c r="K53" s="79" t="str">
        <f>HYPERLINK("https://amzn.to/2SY1Pyr","link*")</f>
        <v>link*</v>
      </c>
      <c r="L53" s="79" t="str">
        <f>HYPERLINK("https://www.bhphotovideo.com/c/product/1352862-REG/samyang_syio50af_e_50mm_f_1_4_auto_focus.html/BI/19619/KBID/12129/DFF/d10-v21-t1-x837927/SID/EZ","link*")</f>
        <v>link*</v>
      </c>
      <c r="M53" s="113" t="s">
        <v>51</v>
      </c>
      <c r="N53" s="79"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53" s="84">
        <v>45</v>
      </c>
      <c r="P53" s="70" t="s">
        <v>27</v>
      </c>
      <c r="Q53" s="74">
        <v>9</v>
      </c>
      <c r="R53" s="112">
        <v>43686</v>
      </c>
      <c r="S53" s="74" t="s">
        <v>38</v>
      </c>
      <c r="T53" s="88">
        <v>42583</v>
      </c>
    </row>
    <row r="54" spans="1:22" ht="13" hidden="1">
      <c r="A54" s="126" t="str">
        <f>HYPERLINK("https://phillipreeve.net/blog/review-sony-fe-1-850/","Sony 50mm F1.8")</f>
        <v>Sony 50mm F1.8</v>
      </c>
      <c r="B54" s="60">
        <v>186</v>
      </c>
      <c r="C54" s="62">
        <v>50</v>
      </c>
      <c r="D54" s="64">
        <v>1.8</v>
      </c>
      <c r="E54" s="194">
        <v>69</v>
      </c>
      <c r="F54" s="195">
        <v>60</v>
      </c>
      <c r="G54" s="74" t="s">
        <v>36</v>
      </c>
      <c r="H54" s="72" t="s">
        <v>124</v>
      </c>
      <c r="I54" s="74">
        <v>0.14000000000000001</v>
      </c>
      <c r="J54" s="156">
        <v>249</v>
      </c>
      <c r="K54" s="79" t="str">
        <f>HYPERLINK("http://amzn.to/2v2F5Se","link*")</f>
        <v>link*</v>
      </c>
      <c r="L54" s="79" t="str">
        <f>HYPERLINK("https://www.bhphotovideo.com/c/product/1242613-REG/sony_sel50f18f_fe_50mm_f_1_8_lens.html/BI/19619/KBID/12129/kw/SO5018F/DFF/d10-v2-t1-xSO5018F","link*")</f>
        <v>link*</v>
      </c>
      <c r="M54" s="79" t="str">
        <f>HYPERLINK("http://amzn.to/2wyHB25","link*")</f>
        <v>link*</v>
      </c>
      <c r="N54"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54" s="84">
        <v>45</v>
      </c>
      <c r="P54" s="70" t="s">
        <v>27</v>
      </c>
      <c r="Q54" s="74">
        <v>7</v>
      </c>
      <c r="R54" s="112">
        <v>43591</v>
      </c>
      <c r="S54" s="74" t="s">
        <v>41</v>
      </c>
      <c r="T54" s="88">
        <v>42430</v>
      </c>
    </row>
    <row r="55" spans="1:22" ht="13">
      <c r="A55" s="58" t="s">
        <v>104</v>
      </c>
      <c r="B55" s="60">
        <v>775</v>
      </c>
      <c r="C55" s="62">
        <v>20</v>
      </c>
      <c r="D55" s="100">
        <v>1.8</v>
      </c>
      <c r="E55" s="65">
        <v>77</v>
      </c>
      <c r="F55" s="67">
        <v>102</v>
      </c>
      <c r="G55" s="74" t="s">
        <v>25</v>
      </c>
      <c r="H55" s="72" t="s">
        <v>68</v>
      </c>
      <c r="I55" s="74">
        <v>0.12</v>
      </c>
      <c r="J55" s="84">
        <v>25</v>
      </c>
      <c r="K55" s="70" t="s">
        <v>27</v>
      </c>
      <c r="L55" s="74">
        <v>14</v>
      </c>
      <c r="M55" s="112">
        <v>43720</v>
      </c>
      <c r="N55" s="74" t="s">
        <v>106</v>
      </c>
      <c r="O55" s="88">
        <v>43586</v>
      </c>
      <c r="P55" s="76">
        <v>486</v>
      </c>
      <c r="Q55" s="76" t="s">
        <v>44</v>
      </c>
      <c r="R55" s="79" t="str">
        <f>HYPERLINK("https://amzn.to/2LRRbJ5","link*")</f>
        <v>link*</v>
      </c>
      <c r="S55" s="79" t="str">
        <f>HYPERLINK("https://www.bhphotovideo.com/c/product/1469187-REG/viltrox_pfu_rbmh_20mm_f1_8_asph_e_mount_20mm_f_1_8_for_sony.html/BI/19619/KBID/12129/DFF/d10-v21-t1-x954299/SID/EZ","link*")</f>
        <v>link*</v>
      </c>
      <c r="T55" s="79" t="str">
        <f>HYPERLINK("https://amzn.to/2GL8iYV","link*")</f>
        <v>link*</v>
      </c>
      <c r="U55" s="79"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row>
    <row r="56" spans="1:22" ht="13" hidden="1">
      <c r="A56" s="126" t="str">
        <f>HYPERLINK("https://phillipreeve.net/blog/rolling-review-sony-fe-2-850-macro/","Sony 50mm F/2.8 Macro")</f>
        <v>Sony 50mm F/2.8 Macro</v>
      </c>
      <c r="B56" s="60">
        <v>236</v>
      </c>
      <c r="C56" s="62">
        <v>50</v>
      </c>
      <c r="D56" s="64">
        <v>1.8</v>
      </c>
      <c r="E56" s="194">
        <v>72</v>
      </c>
      <c r="F56" s="195">
        <v>71</v>
      </c>
      <c r="G56" s="74" t="s">
        <v>36</v>
      </c>
      <c r="H56" s="72" t="s">
        <v>147</v>
      </c>
      <c r="I56" s="263">
        <v>1</v>
      </c>
      <c r="J56" s="184">
        <v>499</v>
      </c>
      <c r="K56" s="79" t="str">
        <f>HYPERLINK("http://amzn.to/2v2g0qz","link*")</f>
        <v>link*</v>
      </c>
      <c r="L56" s="79" t="str">
        <f>HYPERLINK("https://www.bhphotovideo.com/c/product/1277527-REG/sony_sel50m28_fe_50mm_f_2_8_macro.html/BI/19619/KBID/12129/kw/SO5028FF/DFF/d10-v2-t1-xSO5028FF","link*")</f>
        <v>link*</v>
      </c>
      <c r="M56" s="79" t="str">
        <f>HYPERLINK("http://amzn.to/2vbknRN","link*")</f>
        <v>link*</v>
      </c>
      <c r="N56" s="79"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O56" s="84">
        <v>16</v>
      </c>
      <c r="P56" s="70" t="s">
        <v>27</v>
      </c>
      <c r="Q56" s="74">
        <v>7</v>
      </c>
      <c r="R56" s="112">
        <v>43654</v>
      </c>
      <c r="S56" s="74" t="s">
        <v>41</v>
      </c>
      <c r="T56" s="88">
        <v>42614</v>
      </c>
    </row>
    <row r="57" spans="1:22" ht="13" hidden="1">
      <c r="A57" s="126" t="str">
        <f>HYPERLINK("https://phillipreeve.net/blog/sony-fe-1-855-za-sonnar-t-review/","Sony ZA 55mm F1.8 Sonnar")</f>
        <v>Sony ZA 55mm F1.8 Sonnar</v>
      </c>
      <c r="B57" s="60">
        <v>281</v>
      </c>
      <c r="C57" s="62">
        <v>55</v>
      </c>
      <c r="D57" s="64">
        <v>1.8</v>
      </c>
      <c r="E57" s="194">
        <v>64</v>
      </c>
      <c r="F57" s="195">
        <v>71</v>
      </c>
      <c r="G57" s="74" t="s">
        <v>36</v>
      </c>
      <c r="H57" s="72" t="s">
        <v>124</v>
      </c>
      <c r="I57" s="74">
        <v>0.14000000000000001</v>
      </c>
      <c r="J57" s="76">
        <v>999</v>
      </c>
      <c r="K57" s="79" t="str">
        <f>HYPERLINK("https://amzn.to/2ywdgEk","link*")</f>
        <v>link*</v>
      </c>
      <c r="L57" s="79" t="str">
        <f>HYPERLINK("https://www.bhphotovideo.com/c/product/1008124-REG/sony_sel55f18z_sonnar_t_fe_55mm.html/BI/19619/KBID/12129/DFF/d10-v21-t1-x466841/SID/EZ","link*")</f>
        <v>link*</v>
      </c>
      <c r="M57" s="113" t="s">
        <v>51</v>
      </c>
      <c r="N57" s="79"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57" s="84">
        <v>50</v>
      </c>
      <c r="P57" s="70" t="s">
        <v>27</v>
      </c>
      <c r="Q57" s="74">
        <v>9</v>
      </c>
      <c r="R57" s="112">
        <v>43592</v>
      </c>
      <c r="S57" s="74" t="s">
        <v>41</v>
      </c>
      <c r="T57" s="88">
        <v>41548</v>
      </c>
    </row>
    <row r="58" spans="1:22" ht="13">
      <c r="A58" s="126" t="str">
        <f>HYPERLINK("https://phillipreeve.net/blog/tokina-firin-20mm-f2-fe-review-a-good-deal/","Tokina Firin 2/20")</f>
        <v>Tokina Firin 2/20</v>
      </c>
      <c r="B58" s="60">
        <v>492</v>
      </c>
      <c r="C58" s="62">
        <v>20</v>
      </c>
      <c r="D58" s="173">
        <v>2</v>
      </c>
      <c r="E58" s="187">
        <v>69</v>
      </c>
      <c r="F58" s="188">
        <v>82</v>
      </c>
      <c r="G58" s="70" t="s">
        <v>25</v>
      </c>
      <c r="H58" s="72" t="s">
        <v>101</v>
      </c>
      <c r="I58" s="74">
        <v>0.1</v>
      </c>
      <c r="J58" s="84">
        <v>30</v>
      </c>
      <c r="K58" s="70" t="s">
        <v>27</v>
      </c>
      <c r="L58" s="74">
        <v>9</v>
      </c>
      <c r="M58" s="136" t="s">
        <v>77</v>
      </c>
      <c r="N58" s="74" t="s">
        <v>103</v>
      </c>
      <c r="O58" s="88">
        <v>42856</v>
      </c>
      <c r="P58" s="184">
        <v>799</v>
      </c>
      <c r="Q58" s="184">
        <v>400</v>
      </c>
      <c r="R58" s="79" t="str">
        <f>HYPERLINK("http://amzn.to/2vlG2Yq","link*")</f>
        <v>link*</v>
      </c>
      <c r="S58" s="79" t="str">
        <f>HYPERLINK("https://www.bhphotovideo.com/c/product/1281299-REG/tokina_firin_20mm_f_2_fe.html/BI/19619/KBID/12129/kw/TO202E/DFF/d10-v2-t1-xTO202E","link*")</f>
        <v>link*</v>
      </c>
      <c r="T58" s="79" t="str">
        <f>HYPERLINK("http://amzn.to/2vvtDkM","link*")</f>
        <v>link*</v>
      </c>
      <c r="U58" s="79"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row>
    <row r="59" spans="1:22" ht="13" hidden="1">
      <c r="A59" s="58" t="s">
        <v>167</v>
      </c>
      <c r="B59" s="60">
        <v>562</v>
      </c>
      <c r="C59" s="62">
        <v>70</v>
      </c>
      <c r="D59" s="64">
        <v>2.8</v>
      </c>
      <c r="E59" s="194">
        <v>71</v>
      </c>
      <c r="F59" s="195">
        <v>106</v>
      </c>
      <c r="G59" s="74" t="s">
        <v>36</v>
      </c>
      <c r="H59" s="72" t="s">
        <v>124</v>
      </c>
      <c r="I59" s="263">
        <v>1</v>
      </c>
      <c r="J59" s="241">
        <v>569</v>
      </c>
      <c r="K59" s="79" t="str">
        <f>HYPERLINK("https://amzn.to/2YGO9te","link*")</f>
        <v>link*</v>
      </c>
      <c r="L59" s="79" t="str">
        <f>HYPERLINK("https://www.bhphotovideo.com/c/product/1393483-REG/sigma_70mm_f_2_8_dg_macro.html/BI/19619/KBID/12129/DFF/d10-v21-t1-x895111/SID/EZ","link*")</f>
        <v>link*</v>
      </c>
      <c r="M59" s="113" t="s">
        <v>51</v>
      </c>
      <c r="N59" s="79" t="e">
        <f>HYPERLINK("http://rover.ebay.com/rover/1/711-53200-19255-0/1?icep_ff3=9&amp;pub=5575076376&amp;toolid=10001&amp;campid=5338164340&amp;customid=&amp;icep_uq=sigma+70+2.8+macro+sony&amp;icep_sellerId=&amp;icep_ex_kw=&amp;icep_sortBy=12&amp;icep_catId=3323&amp;icep_minPrice=&amp;icep_maxPrice=&amp;ipn=psmain&amp;icep_ve"&amp;"ctorid=229466&amp;kwid=902099&amp;mtid=824&amp;kw=lg","link*")</f>
        <v>#VALUE!</v>
      </c>
      <c r="O59" s="84">
        <v>26</v>
      </c>
      <c r="P59" s="70" t="s">
        <v>27</v>
      </c>
      <c r="Q59" s="74">
        <v>9</v>
      </c>
      <c r="R59" s="112">
        <v>43751</v>
      </c>
      <c r="S59" s="74" t="s">
        <v>47</v>
      </c>
      <c r="T59" s="88">
        <v>43221</v>
      </c>
      <c r="U59" s="77" t="s">
        <v>48</v>
      </c>
    </row>
    <row r="60" spans="1:22" ht="13" hidden="1">
      <c r="A60" s="58" t="s">
        <v>168</v>
      </c>
      <c r="B60" s="60">
        <v>1480</v>
      </c>
      <c r="C60" s="62">
        <v>70</v>
      </c>
      <c r="D60" s="64">
        <v>2.8</v>
      </c>
      <c r="E60" s="194">
        <v>88</v>
      </c>
      <c r="F60" s="195">
        <v>200</v>
      </c>
      <c r="G60" s="74" t="s">
        <v>36</v>
      </c>
      <c r="H60" s="72" t="s">
        <v>80</v>
      </c>
      <c r="I60" s="239">
        <v>0.25</v>
      </c>
      <c r="J60" s="76">
        <v>2599</v>
      </c>
      <c r="K60" s="79" t="str">
        <f>HYPERLINK("https://amzn.to/2KbaJGn","link*")</f>
        <v>link*</v>
      </c>
      <c r="L60" s="79" t="str">
        <f>HYPERLINK("https://www.bhphotovideo.com/c/product/1222776-REG/sony_sel70200gm_fe_70_200mm_f_2_8_gm.html/BI/19619/KBID/12129/DFF/d10-v21-t1-x746807/SID/EZ","link*")</f>
        <v>link*</v>
      </c>
      <c r="M60" s="113" t="s">
        <v>51</v>
      </c>
      <c r="N60"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60" s="84">
        <v>96</v>
      </c>
      <c r="P60" s="134" t="s">
        <v>66</v>
      </c>
      <c r="Q60" s="74">
        <v>11</v>
      </c>
      <c r="R60" s="115" t="s">
        <v>169</v>
      </c>
      <c r="S60" s="74" t="s">
        <v>41</v>
      </c>
      <c r="T60" s="88">
        <v>42401</v>
      </c>
    </row>
    <row r="61" spans="1:22" ht="13" hidden="1">
      <c r="A61" s="58" t="s">
        <v>170</v>
      </c>
      <c r="B61" s="60">
        <v>854</v>
      </c>
      <c r="C61" s="62">
        <v>70</v>
      </c>
      <c r="D61" s="64" t="s">
        <v>171</v>
      </c>
      <c r="E61" s="194">
        <v>84</v>
      </c>
      <c r="F61" s="195">
        <v>144</v>
      </c>
      <c r="G61" s="74" t="s">
        <v>36</v>
      </c>
      <c r="H61" s="72" t="s">
        <v>64</v>
      </c>
      <c r="I61" s="201">
        <v>0.31</v>
      </c>
      <c r="J61" s="76">
        <v>1198</v>
      </c>
      <c r="K61" s="79" t="str">
        <f>HYPERLINK("https://amzn.to/2SVN1Ao","link*")</f>
        <v>link*</v>
      </c>
      <c r="L61" s="79" t="str">
        <f>HYPERLINK("https://www.bhphotovideo.com/c/product/1242614-REG/sony_sel70300g_fe_70_300mm_f_4_5_5_6_g.html/BI/19619/KBID/12129/DFF/d10-v21-t1-x722726/SID/EZ","link*")</f>
        <v>link*</v>
      </c>
      <c r="M61" s="113" t="s">
        <v>51</v>
      </c>
      <c r="N61"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61" s="84">
        <v>90</v>
      </c>
      <c r="P61" s="134" t="s">
        <v>66</v>
      </c>
      <c r="Q61" s="74">
        <v>9</v>
      </c>
      <c r="R61" s="115" t="s">
        <v>72</v>
      </c>
      <c r="S61" s="74" t="s">
        <v>41</v>
      </c>
      <c r="T61" s="88">
        <v>42430</v>
      </c>
    </row>
    <row r="62" spans="1:22" ht="13" hidden="1">
      <c r="A62" s="126" t="str">
        <f>HYPERLINK("https://phillipreeve.net/blog/review-sony-fe-470-200-g-oss/https://phillipreeve.net/blog/review-sony-fe-470-200-g-oss/","Sony G 4/70-200 OSS")</f>
        <v>Sony G 4/70-200 OSS</v>
      </c>
      <c r="B62" s="60">
        <v>840</v>
      </c>
      <c r="C62" s="62">
        <v>70</v>
      </c>
      <c r="D62" s="64">
        <v>4</v>
      </c>
      <c r="E62" s="194">
        <v>80</v>
      </c>
      <c r="F62" s="195">
        <v>175</v>
      </c>
      <c r="G62" s="74" t="s">
        <v>36</v>
      </c>
      <c r="H62" s="72" t="s">
        <v>64</v>
      </c>
      <c r="I62" s="74">
        <v>0.18</v>
      </c>
      <c r="J62" s="76">
        <v>1498</v>
      </c>
      <c r="K62" s="79" t="str">
        <f>HYPERLINK("http://amzn.to/2fbeX3x","link*")</f>
        <v>link*</v>
      </c>
      <c r="L62" s="79" t="str">
        <f>HYPERLINK("https://www.bhphotovideo.com/c/product/1380865-REG/sony_fe_70_200mm_f_4_g.html/BI/19619/KBID/12129/kw/SO702004F/DFF/d10-v2-t1-xSO702004F","link*")</f>
        <v>link*</v>
      </c>
      <c r="M62" s="79" t="str">
        <f>HYPERLINK("http://amzn.to/2vbFQKj","link*")</f>
        <v>link*</v>
      </c>
      <c r="N62" s="79"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62" s="84">
        <v>100</v>
      </c>
      <c r="P62" s="134" t="s">
        <v>66</v>
      </c>
      <c r="Q62" s="74">
        <v>9</v>
      </c>
      <c r="R62" s="115" t="s">
        <v>173</v>
      </c>
      <c r="S62" s="74" t="s">
        <v>41</v>
      </c>
      <c r="T62" s="88">
        <v>41548</v>
      </c>
    </row>
    <row r="63" spans="1:22" ht="13" hidden="1">
      <c r="A63" s="126" t="str">
        <f>HYPERLINK("https://phillipreeve.net/blog/review-sony-fe-85mm-1-4-gm/","Sony GM 1.4/85")</f>
        <v>Sony GM 1.4/85</v>
      </c>
      <c r="B63" s="60">
        <v>854</v>
      </c>
      <c r="C63" s="62">
        <v>85</v>
      </c>
      <c r="D63" s="64">
        <v>1.4</v>
      </c>
      <c r="E63" s="194">
        <v>84</v>
      </c>
      <c r="F63" s="195">
        <v>108</v>
      </c>
      <c r="G63" s="74" t="s">
        <v>36</v>
      </c>
      <c r="H63" s="72" t="s">
        <v>80</v>
      </c>
      <c r="I63" s="74">
        <v>0.12</v>
      </c>
      <c r="J63" s="76">
        <v>1799</v>
      </c>
      <c r="K63" s="79" t="str">
        <f>HYPERLINK("https://amzn.to/2SZeKAh","link*")</f>
        <v>link*</v>
      </c>
      <c r="L63" s="79" t="str">
        <f>HYPERLINK("https://www.bhphotovideo.com/c/product/1222775-REG/sony_sel85f14gm_fe_85mm_f_1_4_gm.html/BI/19619/KBID/12129/DFF/d10-v21-t1-x707644/SID/EZ","link*")</f>
        <v>link*</v>
      </c>
      <c r="M63" s="113" t="s">
        <v>51</v>
      </c>
      <c r="N63" s="7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63" s="84">
        <v>80</v>
      </c>
      <c r="P63" s="70" t="s">
        <v>27</v>
      </c>
      <c r="Q63" s="74">
        <v>11</v>
      </c>
      <c r="R63" s="112">
        <v>43688</v>
      </c>
      <c r="S63" s="74" t="s">
        <v>41</v>
      </c>
      <c r="T63" s="88">
        <v>42401</v>
      </c>
    </row>
    <row r="64" spans="1:22" ht="13" hidden="1">
      <c r="A64" s="58" t="s">
        <v>174</v>
      </c>
      <c r="B64" s="60">
        <v>1130</v>
      </c>
      <c r="C64" s="62">
        <v>85</v>
      </c>
      <c r="D64" s="64">
        <v>1.4</v>
      </c>
      <c r="E64" s="194">
        <v>95</v>
      </c>
      <c r="F64" s="195">
        <v>152</v>
      </c>
      <c r="G64" s="74" t="s">
        <v>36</v>
      </c>
      <c r="H64" s="269" t="s">
        <v>175</v>
      </c>
      <c r="I64" s="74">
        <v>0.12</v>
      </c>
      <c r="J64" s="76">
        <v>1199</v>
      </c>
      <c r="K64" s="79" t="str">
        <f>HYPERLINK("https://amzn.to/2MBd68k","link*")</f>
        <v>link*</v>
      </c>
      <c r="L64" s="79" t="str">
        <f>HYPERLINK("https://www.bhphotovideo.com/c/product/1393494-REG/sigma_85mm_f_1_4_dg_hsm.html/BI/19619/KBID/12129/kw/SI8514SO/DFF/d10-v2-t1-xSI8514SO","link*")</f>
        <v>link*</v>
      </c>
      <c r="M64" s="79" t="str">
        <f>HYPERLINK("https://amzn.to/2Wto6JH","link*")</f>
        <v>link*</v>
      </c>
      <c r="N64" s="79"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O64" s="84">
        <v>85</v>
      </c>
      <c r="P64" s="70" t="s">
        <v>27</v>
      </c>
      <c r="Q64" s="74">
        <v>9</v>
      </c>
      <c r="R64" s="112">
        <v>43724</v>
      </c>
      <c r="S64" s="74" t="s">
        <v>47</v>
      </c>
      <c r="T64" s="88">
        <v>43221</v>
      </c>
      <c r="U64" s="77" t="s">
        <v>48</v>
      </c>
    </row>
    <row r="65" spans="1:22" ht="13" hidden="1">
      <c r="A65" s="58" t="s">
        <v>176</v>
      </c>
      <c r="B65" s="60">
        <v>568</v>
      </c>
      <c r="C65" s="62">
        <v>85</v>
      </c>
      <c r="D65" s="64">
        <v>1.4</v>
      </c>
      <c r="E65" s="194">
        <v>88</v>
      </c>
      <c r="F65" s="195">
        <v>100</v>
      </c>
      <c r="G65" s="74" t="s">
        <v>36</v>
      </c>
      <c r="H65" s="72" t="s">
        <v>80</v>
      </c>
      <c r="I65" s="74">
        <v>0.11</v>
      </c>
      <c r="J65" s="156">
        <v>699</v>
      </c>
      <c r="K65" s="79" t="str">
        <f>HYPERLINK("https://amzn.to/2T0yJ1A","link*")</f>
        <v>link*</v>
      </c>
      <c r="L65" s="79" t="str">
        <f>HYPERLINK("https://www.bhphotovideo.com/c/product/1470654-REG/samyang_syio85af_e_af_85mm_f_1_4_lens.html/BI/19619/KBID/12129/DFF/d10-v21-t1-x955078/SID/EZ","link*")</f>
        <v>link*</v>
      </c>
      <c r="M65" s="113" t="s">
        <v>51</v>
      </c>
      <c r="N65"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65" s="84">
        <v>90</v>
      </c>
      <c r="P65" s="70" t="s">
        <v>27</v>
      </c>
      <c r="Q65" s="74">
        <v>9</v>
      </c>
      <c r="R65" s="112">
        <v>43688</v>
      </c>
      <c r="S65" s="74" t="s">
        <v>38</v>
      </c>
      <c r="T65" s="88">
        <v>43586</v>
      </c>
    </row>
    <row r="66" spans="1:22" ht="13" hidden="1">
      <c r="A66" s="126" t="str">
        <f>HYPERLINK("https://phillipreeve.net/blog/review-sony-fe-85-mm-1-8/","Sony FE 85mm f/1.8")</f>
        <v>Sony FE 85mm f/1.8</v>
      </c>
      <c r="B66" s="60">
        <v>371</v>
      </c>
      <c r="C66" s="62">
        <v>85</v>
      </c>
      <c r="D66" s="64">
        <v>1.8</v>
      </c>
      <c r="E66" s="194">
        <v>77</v>
      </c>
      <c r="F66" s="195">
        <v>82</v>
      </c>
      <c r="G66" s="74" t="s">
        <v>36</v>
      </c>
      <c r="H66" s="72" t="s">
        <v>73</v>
      </c>
      <c r="I66" s="74">
        <v>0.13</v>
      </c>
      <c r="J66" s="156">
        <v>599</v>
      </c>
      <c r="K66" s="79" t="str">
        <f>HYPERLINK("https://amzn.to/2YB4RxU","link*")</f>
        <v>link*</v>
      </c>
      <c r="L66" s="79" t="str">
        <f t="shared" ref="L66:L67" si="0">HYPERLINK("https://www.bhphotovideo.com/c/product/1140833-REG/zeiss_2103_751_85mm_f_1_8_batis_short.html/BI/19619/KBID/12129/DFF/d10-v21-t1-x627139/SID/EZ","link*")</f>
        <v>link*</v>
      </c>
      <c r="M66" s="113" t="s">
        <v>51</v>
      </c>
      <c r="N66"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66" s="84">
        <v>80</v>
      </c>
      <c r="P66" s="70" t="s">
        <v>27</v>
      </c>
      <c r="Q66" s="74">
        <v>9</v>
      </c>
      <c r="R66" s="112">
        <v>43686</v>
      </c>
      <c r="S66" s="74" t="s">
        <v>41</v>
      </c>
      <c r="T66" s="88">
        <v>42767</v>
      </c>
    </row>
    <row r="67" spans="1:22" ht="13" hidden="1">
      <c r="A67" s="126" t="str">
        <f>HYPERLINK("https://phillipreeve.net/blog/zeiss-batis-sonnar-t-85mm-f1-8-a-review/","Zeiss Batis 1.8/85")</f>
        <v>Zeiss Batis 1.8/85</v>
      </c>
      <c r="B67" s="60">
        <v>475</v>
      </c>
      <c r="C67" s="62">
        <v>85</v>
      </c>
      <c r="D67" s="64">
        <v>1.8</v>
      </c>
      <c r="E67" s="194">
        <v>92</v>
      </c>
      <c r="F67" s="195">
        <v>81</v>
      </c>
      <c r="G67" s="74" t="s">
        <v>36</v>
      </c>
      <c r="H67" s="72" t="s">
        <v>73</v>
      </c>
      <c r="I67" s="74">
        <v>0.13</v>
      </c>
      <c r="J67" s="76">
        <v>1199</v>
      </c>
      <c r="K67" s="79" t="str">
        <f>HYPERLINK("https://amzn.to/2T8oWqt","link*")</f>
        <v>link*</v>
      </c>
      <c r="L67" s="79" t="str">
        <f t="shared" si="0"/>
        <v>link*</v>
      </c>
      <c r="M67" s="113" t="s">
        <v>51</v>
      </c>
      <c r="N67"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67" s="84">
        <v>80</v>
      </c>
      <c r="P67" s="134" t="s">
        <v>66</v>
      </c>
      <c r="Q67" s="74">
        <v>9</v>
      </c>
      <c r="R67" s="112">
        <v>43688</v>
      </c>
      <c r="S67" s="74" t="s">
        <v>87</v>
      </c>
      <c r="T67" s="88">
        <v>42125</v>
      </c>
    </row>
    <row r="68" spans="1:22" ht="13" hidden="1">
      <c r="A68" s="120" t="s">
        <v>97</v>
      </c>
      <c r="B68" s="21">
        <v>464</v>
      </c>
      <c r="C68" s="23">
        <v>20</v>
      </c>
      <c r="D68" s="190">
        <v>2</v>
      </c>
      <c r="E68" s="191">
        <v>73</v>
      </c>
      <c r="F68" s="193">
        <v>82</v>
      </c>
      <c r="G68" s="39" t="s">
        <v>36</v>
      </c>
      <c r="H68" s="33" t="s">
        <v>101</v>
      </c>
      <c r="I68" s="35">
        <v>0.1</v>
      </c>
      <c r="J68" s="37">
        <v>30</v>
      </c>
      <c r="K68" s="39" t="s">
        <v>27</v>
      </c>
      <c r="L68" s="35">
        <v>9</v>
      </c>
      <c r="M68" s="162" t="s">
        <v>77</v>
      </c>
      <c r="N68" s="35" t="s">
        <v>103</v>
      </c>
      <c r="O68" s="42">
        <v>43221</v>
      </c>
      <c r="P68" s="44">
        <v>949</v>
      </c>
      <c r="Q68" s="44">
        <v>600</v>
      </c>
      <c r="R68" s="47" t="str">
        <f>HYPERLINK("https://amzn.to/2GDurZb","link*")</f>
        <v>link*</v>
      </c>
      <c r="S68" s="47" t="str">
        <f>HYPERLINK("https://www.bhphotovideo.com/c/product/1393327-REG/tokina_firin_20mm_f_2_fe.html/BI/19619/KBID/12129/DFF/d10-v21-t1-x880327/SID/EZ","link*")</f>
        <v>link*</v>
      </c>
      <c r="T68" s="47" t="str">
        <f>HYPERLINK("https://amzn.to/2GJYCxw","link*")</f>
        <v>link*</v>
      </c>
      <c r="U68" s="47"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V68" s="130"/>
    </row>
    <row r="69" spans="1:22" ht="13" hidden="1">
      <c r="A69" s="58" t="s">
        <v>177</v>
      </c>
      <c r="B69" s="60">
        <v>636</v>
      </c>
      <c r="C69" s="62">
        <v>85</v>
      </c>
      <c r="D69" s="64">
        <v>1.8</v>
      </c>
      <c r="E69" s="194">
        <v>79</v>
      </c>
      <c r="F69" s="195">
        <v>92</v>
      </c>
      <c r="G69" s="74" t="s">
        <v>36</v>
      </c>
      <c r="H69" s="72" t="s">
        <v>64</v>
      </c>
      <c r="I69" s="74">
        <v>0.13</v>
      </c>
      <c r="J69" s="76">
        <v>379</v>
      </c>
      <c r="K69" s="79" t="str">
        <f>HYPERLINK("https://amzn.to/2SZfd5v","link*")</f>
        <v>link*</v>
      </c>
      <c r="L69" s="79" t="str">
        <f>HYPERLINK("https://www.bhphotovideo.com/c/product/1470585-REG/viltrox_pfu_rbmh_85mm_f1_8_stm_e_mount_85mm_f_1_8_lens_for.html/BI/19619/KBID/12129/DFF/d10-v21-t1-x955239/SID/EZ","link*")</f>
        <v>link*</v>
      </c>
      <c r="M69" s="113" t="s">
        <v>51</v>
      </c>
      <c r="N69"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69" s="84">
        <v>80</v>
      </c>
      <c r="P69" s="70" t="s">
        <v>27</v>
      </c>
      <c r="Q69" s="74">
        <v>9</v>
      </c>
      <c r="R69" s="112">
        <v>43656</v>
      </c>
      <c r="S69" s="74" t="s">
        <v>106</v>
      </c>
      <c r="T69" s="88">
        <v>43586</v>
      </c>
    </row>
    <row r="70" spans="1:22" ht="13" hidden="1">
      <c r="A70" s="198" t="s">
        <v>120</v>
      </c>
      <c r="B70" s="60">
        <v>220</v>
      </c>
      <c r="C70" s="62">
        <v>20</v>
      </c>
      <c r="D70" s="64">
        <v>2.8</v>
      </c>
      <c r="E70" s="199">
        <v>73</v>
      </c>
      <c r="F70" s="200">
        <v>64</v>
      </c>
      <c r="G70" s="70" t="s">
        <v>36</v>
      </c>
      <c r="H70" s="72" t="s">
        <v>73</v>
      </c>
      <c r="I70" s="201">
        <v>0.5</v>
      </c>
      <c r="J70" s="84">
        <v>11</v>
      </c>
      <c r="K70" s="70" t="s">
        <v>27</v>
      </c>
      <c r="L70" s="74">
        <v>7</v>
      </c>
      <c r="M70" s="136" t="s">
        <v>123</v>
      </c>
      <c r="N70" s="74" t="s">
        <v>78</v>
      </c>
      <c r="O70" s="88">
        <v>43860</v>
      </c>
      <c r="P70" s="203">
        <v>349</v>
      </c>
      <c r="Q70" s="203"/>
      <c r="R70" s="121"/>
      <c r="S70" s="79" t="str">
        <f>HYPERLINK("https://www.bhphotovideo.com/c/product/1512041-REG/tamron_f050_20mm_f_2_8_di_iii.html/BI/19619/KBID/12129/DFF/d10-v21-t1-x994970/SID/EZ","link*")</f>
        <v>link*</v>
      </c>
      <c r="T70" s="121" t="s">
        <v>51</v>
      </c>
      <c r="U70" s="79" t="e">
        <f>HYPERLINK("http://rover.ebay.com/rover/1/711-53200-19255-0/1?icep_ff3=9&amp;pub=5575076376&amp;toolid=10001&amp;campid=5338573609&amp;customid=&amp;icep_uq=tamron+20+2.8+osd+&amp;icep_sellerId=&amp;icep_ex_kw=&amp;icep_sortBy=12&amp;icep_catId=3323&amp;icep_minPrice=&amp;icep_maxPrice=&amp;ipn=psmain&amp;icep_vectori"&amp;"d=229466&amp;kwid=902099&amp;mtid=824&amp;kw=lg","link*")</f>
        <v>#VALUE!</v>
      </c>
    </row>
    <row r="71" spans="1:22" ht="13" hidden="1">
      <c r="A71" s="126" t="str">
        <f>HYPERLINK("https://phillipreeve.net/blog/review-sony-fe-90mm-f2-8-macro-oss-one-of-sonys-finest/","Sony 2.8/90 G OSS")</f>
        <v>Sony 2.8/90 G OSS</v>
      </c>
      <c r="B71" s="60">
        <v>602</v>
      </c>
      <c r="C71" s="62">
        <v>90</v>
      </c>
      <c r="D71" s="64">
        <v>2.8</v>
      </c>
      <c r="E71" s="194">
        <v>79</v>
      </c>
      <c r="F71" s="195">
        <v>131</v>
      </c>
      <c r="G71" s="74" t="s">
        <v>36</v>
      </c>
      <c r="H71" s="72" t="s">
        <v>101</v>
      </c>
      <c r="I71" s="263">
        <v>1</v>
      </c>
      <c r="J71" s="76">
        <v>1099</v>
      </c>
      <c r="K71" s="79" t="str">
        <f>HYPERLINK("http://amzn.to/2fbeX3x","link*")</f>
        <v>link*</v>
      </c>
      <c r="L71" s="79" t="str">
        <f>HYPERLINK("https://www.bhphotovideo.com/c/product/1380868-REG/sony_fe_90mm_f_2_8_macro.html/BI/19619/KBID/12129/kw/SO9028F/DFF/d10-v2-t1-xSO9028F","link*")</f>
        <v>link*</v>
      </c>
      <c r="M71" s="79" t="str">
        <f>HYPERLINK("http://amzn.to/2vvvHcw","link*")</f>
        <v>link*</v>
      </c>
      <c r="N71"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71" s="84">
        <v>28</v>
      </c>
      <c r="P71" s="134" t="s">
        <v>66</v>
      </c>
      <c r="Q71" s="74">
        <v>9</v>
      </c>
      <c r="R71" s="112">
        <v>43784</v>
      </c>
      <c r="S71" s="74" t="s">
        <v>41</v>
      </c>
      <c r="T71" s="88">
        <v>42064</v>
      </c>
    </row>
    <row r="72" spans="1:22" ht="13" hidden="1">
      <c r="A72" s="126" t="str">
        <f>HYPERLINK("https://phillipreeve.net/blog/review-sony-fe-100-f-2-8-stf-gm-oss-lens/","Sony GM 2.8/100 STF OSS")</f>
        <v>Sony GM 2.8/100 STF OSS</v>
      </c>
      <c r="B72" s="60">
        <v>700</v>
      </c>
      <c r="C72" s="62">
        <v>100</v>
      </c>
      <c r="D72" s="64">
        <v>2.8</v>
      </c>
      <c r="E72" s="194">
        <v>85</v>
      </c>
      <c r="F72" s="195">
        <v>118</v>
      </c>
      <c r="G72" s="74" t="s">
        <v>36</v>
      </c>
      <c r="H72" s="72" t="s">
        <v>64</v>
      </c>
      <c r="I72" s="239">
        <v>0.25</v>
      </c>
      <c r="J72" s="76">
        <v>1499</v>
      </c>
      <c r="K72" s="79" t="str">
        <f>HYPERLINK("https://amzn.to/2YD8rn4","link*")</f>
        <v>link*</v>
      </c>
      <c r="L72" s="79" t="str">
        <f>HYPERLINK("https://www.bhphotovideo.com/c/product/1317561-REG/sony_sel100f28gm_fe_100mm_f_2_8_stf.html/BI/19619/KBID/12129/DFF/d10-v21-t1-x795192/SID/EZ","link*")</f>
        <v>link*</v>
      </c>
      <c r="M72" s="113" t="s">
        <v>51</v>
      </c>
      <c r="N72" s="7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72" s="84">
        <v>57</v>
      </c>
      <c r="P72" s="134" t="s">
        <v>66</v>
      </c>
      <c r="Q72" s="74">
        <v>11</v>
      </c>
      <c r="R72" s="112">
        <v>43752</v>
      </c>
      <c r="S72" s="74" t="s">
        <v>41</v>
      </c>
      <c r="T72" s="88">
        <v>42767</v>
      </c>
      <c r="U72" s="77" t="s">
        <v>178</v>
      </c>
    </row>
    <row r="73" spans="1:22" ht="13" hidden="1">
      <c r="A73" s="126" t="str">
        <f>HYPERLINK("https://phillipreeve.net/blog/review-tokina-firin-100mm-f2-8-fe-macro/","Tokina Firin 2.8/100 Macro")</f>
        <v>Tokina Firin 2.8/100 Macro</v>
      </c>
      <c r="B73" s="60">
        <v>570</v>
      </c>
      <c r="C73" s="62">
        <v>100</v>
      </c>
      <c r="D73" s="64">
        <v>2.8</v>
      </c>
      <c r="E73" s="194">
        <v>74</v>
      </c>
      <c r="F73" s="176">
        <v>123</v>
      </c>
      <c r="G73" s="74" t="s">
        <v>36</v>
      </c>
      <c r="H73" s="72" t="s">
        <v>147</v>
      </c>
      <c r="I73" s="263">
        <v>1</v>
      </c>
      <c r="J73" s="184">
        <v>599</v>
      </c>
      <c r="K73" s="79" t="str">
        <f>HYPERLINK("http://amzn.to/2fbeX3x","link*")</f>
        <v>link*</v>
      </c>
      <c r="L73" s="79" t="str">
        <f>HYPERLINK("https://www.bhphotovideo.com/c/product/1473390-REG/tokina_frn_afm100fxse_firin_100mm_f_2_8_fe.html/BI/19619/KBID/12129/kw/TO100AF/DFF/d10-v2-t1-xTO100AF","link*")</f>
        <v>link*</v>
      </c>
      <c r="M73" s="79"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N73"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73" s="84">
        <v>30</v>
      </c>
      <c r="P73" s="70" t="s">
        <v>27</v>
      </c>
      <c r="Q73" s="74">
        <v>9</v>
      </c>
      <c r="R73" s="112">
        <v>43686</v>
      </c>
      <c r="S73" s="74" t="s">
        <v>103</v>
      </c>
      <c r="T73" s="88">
        <v>43617</v>
      </c>
      <c r="U73" s="77" t="s">
        <v>48</v>
      </c>
    </row>
    <row r="74" spans="1:22" ht="13" hidden="1">
      <c r="A74" s="58" t="s">
        <v>179</v>
      </c>
      <c r="B74" s="60">
        <v>1395</v>
      </c>
      <c r="C74" s="62">
        <v>100</v>
      </c>
      <c r="D74" s="64" t="s">
        <v>171</v>
      </c>
      <c r="E74" s="194">
        <v>94</v>
      </c>
      <c r="F74" s="176">
        <v>205</v>
      </c>
      <c r="G74" s="74" t="s">
        <v>36</v>
      </c>
      <c r="H74" s="72" t="s">
        <v>80</v>
      </c>
      <c r="I74" s="239">
        <v>0.35</v>
      </c>
      <c r="J74" s="76">
        <v>2499</v>
      </c>
      <c r="K74" s="79" t="str">
        <f>HYPERLINK("https://amzn.to/2SZ0aZO","link*")</f>
        <v>link*</v>
      </c>
      <c r="L74" s="79" t="str">
        <f>HYPERLINK("https://www.bhphotovideo.com/c/product/1333230-REG/sony_sel100400gm_fe_100_400mm_f_4_5_5_6_gm.html/BI/19619/KBID/12129/DFF/d10-v21-t1-x817745/SID/EZ","link*")</f>
        <v>link*</v>
      </c>
      <c r="M74" s="113" t="s">
        <v>51</v>
      </c>
      <c r="N74" s="79"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74" s="84">
        <v>98</v>
      </c>
      <c r="P74" s="134" t="s">
        <v>66</v>
      </c>
      <c r="Q74" s="74">
        <v>11</v>
      </c>
      <c r="R74" s="115" t="s">
        <v>180</v>
      </c>
      <c r="S74" s="74" t="s">
        <v>41</v>
      </c>
      <c r="T74" s="88">
        <v>42826</v>
      </c>
    </row>
    <row r="75" spans="1:22" ht="15.75" hidden="1" customHeight="1">
      <c r="A75" s="58" t="s">
        <v>181</v>
      </c>
      <c r="B75" s="60">
        <v>1600</v>
      </c>
      <c r="C75" s="62">
        <v>105</v>
      </c>
      <c r="D75" s="64">
        <v>1.4</v>
      </c>
      <c r="E75" s="194">
        <v>116</v>
      </c>
      <c r="F75" s="176">
        <v>132</v>
      </c>
      <c r="G75" s="74" t="s">
        <v>36</v>
      </c>
      <c r="H75" s="278" t="s">
        <v>182</v>
      </c>
      <c r="I75" s="74">
        <v>0.12</v>
      </c>
      <c r="J75" s="76">
        <v>1599</v>
      </c>
      <c r="K75" s="79" t="str">
        <f>HYPERLINK("https://amzn.to/2EWeThZ","link*")</f>
        <v>link*</v>
      </c>
      <c r="L75" s="79" t="str">
        <f>HYPERLINK("https://www.bhphotovideo.com/c/product/1393488-REG/sigma_105mm_f_1_4_dg_hsm.html/BI/19619/KBID/12129/kw/SI10514SO/DFF/d10-v2-t1-xSI10514SO","link*")</f>
        <v>link*</v>
      </c>
      <c r="M75" s="79" t="str">
        <f>HYPERLINK("https://amzn.to/2WpOvTy","link*")</f>
        <v>link*</v>
      </c>
      <c r="N75" s="79" t="e">
        <f>HYPERLINK("http://rover.ebay.com/rover/1/711-53200-19255-0/1?icep_ff3=9&amp;pub=5575076376&amp;toolid=10001&amp;campid=5338164340&amp;customid=&amp;icep_uq=sigma+art+100+1.4+sony&amp;icep_sellerId=&amp;icep_ex_kw=&amp;icep_sortBy=12&amp;icep_catId=3323&amp;icep_minPrice=&amp;icep_maxPrice=&amp;ipn=psmain&amp;icep_vec"&amp;"torid=229466&amp;kwid=902099&amp;mtid=824&amp;kw=lg","link*")</f>
        <v>#VALUE!</v>
      </c>
      <c r="O75" s="84">
        <v>100</v>
      </c>
      <c r="P75" s="70" t="s">
        <v>27</v>
      </c>
      <c r="Q75" s="74">
        <v>9</v>
      </c>
      <c r="R75" s="112">
        <v>43816</v>
      </c>
      <c r="S75" s="74" t="s">
        <v>183</v>
      </c>
      <c r="T75" s="88">
        <v>43221</v>
      </c>
      <c r="U75" s="77" t="s">
        <v>48</v>
      </c>
    </row>
    <row r="76" spans="1:22" ht="13">
      <c r="A76" s="157" t="str">
        <f>HYPERLINK("https://phillipreeve.net/blog/review_voigtlander_21mm_f14_e/","Voigtlander 21mm F1.4 Nokton")</f>
        <v>Voigtlander 21mm F1.4 Nokton</v>
      </c>
      <c r="B76" s="50">
        <v>540</v>
      </c>
      <c r="C76" s="68">
        <v>21</v>
      </c>
      <c r="D76" s="206">
        <v>1.4</v>
      </c>
      <c r="E76" s="194">
        <v>70</v>
      </c>
      <c r="F76" s="195">
        <v>80</v>
      </c>
      <c r="G76" s="73" t="s">
        <v>25</v>
      </c>
      <c r="H76" s="57" t="s">
        <v>101</v>
      </c>
      <c r="I76" s="59"/>
      <c r="J76" s="71">
        <v>25</v>
      </c>
      <c r="K76" s="73" t="s">
        <v>27</v>
      </c>
      <c r="L76" s="59">
        <v>12</v>
      </c>
      <c r="M76" s="75" t="s">
        <v>77</v>
      </c>
      <c r="N76" s="59" t="s">
        <v>29</v>
      </c>
      <c r="O76" s="83">
        <v>43617</v>
      </c>
      <c r="P76" s="61">
        <v>1199</v>
      </c>
      <c r="Q76" s="61" t="s">
        <v>44</v>
      </c>
      <c r="R76" s="69" t="str">
        <f>HYPERLINK("https://amzn.to/2K7gHrC","link*")</f>
        <v>link*</v>
      </c>
      <c r="S76" s="69" t="str">
        <f>HYPERLINK("https://www.bhphotovideo.com/c/product/1480269-REG/voigtlander_ba352a_nokton_21mm_f_1_4_aspherical.html/BI/19619/KBID/12129/DFF/d10-v21-t1-x963269/SID/EZ","link*")</f>
        <v>link*</v>
      </c>
      <c r="T76" s="189"/>
      <c r="U76" s="69"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row>
    <row r="77" spans="1:22" ht="13" hidden="1">
      <c r="A77" s="126" t="str">
        <f>HYPERLINK("https://phillipreeve.net/blog/review-sony-fe-135mm-f1-8-gm/","Sony 1.8/135 GM")</f>
        <v>Sony 1.8/135 GM</v>
      </c>
      <c r="B77" s="60">
        <v>950</v>
      </c>
      <c r="C77" s="62">
        <v>135</v>
      </c>
      <c r="D77" s="64">
        <v>1.8</v>
      </c>
      <c r="E77" s="194">
        <v>90</v>
      </c>
      <c r="F77" s="195">
        <v>127</v>
      </c>
      <c r="G77" s="74" t="s">
        <v>36</v>
      </c>
      <c r="H77" s="236" t="s">
        <v>68</v>
      </c>
      <c r="I77" s="239">
        <v>0.25</v>
      </c>
      <c r="J77" s="76">
        <v>1899</v>
      </c>
      <c r="K77" s="79" t="str">
        <f>HYPERLINK("https://amzn.to/2WtonMJ","link*")</f>
        <v>link*</v>
      </c>
      <c r="L77" s="79" t="str">
        <f>HYPERLINK("https://www.bhphotovideo.com/c/product/1393495-REG/sigma_135mm_f_1_8_dg_hsm.html/BI/19619/KBID/12129/kw/SI13518SO/DFF/d10-v2-t1-xSI13518SO","link*")</f>
        <v>link*</v>
      </c>
      <c r="M77" s="79" t="str">
        <f>HYPERLINK("https://amzn.to/2Z9KKDE","link*")</f>
        <v>link*</v>
      </c>
      <c r="N77" s="7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77" s="84">
        <v>70</v>
      </c>
      <c r="P77" s="70" t="s">
        <v>27</v>
      </c>
      <c r="Q77" s="74">
        <v>11</v>
      </c>
      <c r="R77" s="112">
        <v>43751</v>
      </c>
      <c r="S77" s="74" t="s">
        <v>41</v>
      </c>
      <c r="T77" s="88">
        <v>43525</v>
      </c>
    </row>
    <row r="78" spans="1:22" ht="13" hidden="1">
      <c r="A78" s="58" t="s">
        <v>185</v>
      </c>
      <c r="B78" s="60">
        <v>1130</v>
      </c>
      <c r="C78" s="62">
        <v>135</v>
      </c>
      <c r="D78" s="64">
        <v>1.8</v>
      </c>
      <c r="E78" s="194">
        <v>91</v>
      </c>
      <c r="F78" s="195">
        <v>115</v>
      </c>
      <c r="G78" s="74" t="s">
        <v>36</v>
      </c>
      <c r="H78" s="236" t="s">
        <v>68</v>
      </c>
      <c r="I78" s="74">
        <v>0.2</v>
      </c>
      <c r="J78" s="184">
        <v>1399</v>
      </c>
      <c r="K78" s="79" t="str">
        <f>HYPERLINK("https://amzn.to/2yxIM4R","link*")</f>
        <v>link*</v>
      </c>
      <c r="L78" s="79" t="str">
        <f>HYPERLINK("https://www.bhphotovideo.com/c/product/1393495-REG/sigma_135mm_f_1_8_dg_hsm.html/BI/19619/KBID/12129/DFF/d10-v21-t1-x881160/SID/EZ","link*")</f>
        <v>link*</v>
      </c>
      <c r="M78" s="113" t="s">
        <v>51</v>
      </c>
      <c r="N78" s="79"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O78" s="84">
        <v>87</v>
      </c>
      <c r="P78" s="70" t="s">
        <v>27</v>
      </c>
      <c r="Q78" s="74">
        <v>9</v>
      </c>
      <c r="R78" s="112">
        <v>43751</v>
      </c>
      <c r="S78" s="74" t="s">
        <v>47</v>
      </c>
      <c r="T78" s="88">
        <v>43221</v>
      </c>
      <c r="U78" s="77" t="s">
        <v>48</v>
      </c>
    </row>
    <row r="79" spans="1:22" ht="13" hidden="1">
      <c r="A79" s="126" t="str">
        <f>HYPERLINK("https://phillipreeve.net/blog/zeiss-batis-apo-sonnar-t-135mm-f2-8/","Zeiss 2.8/135 APO")</f>
        <v>Zeiss 2.8/135 APO</v>
      </c>
      <c r="B79" s="60">
        <v>614</v>
      </c>
      <c r="C79" s="62">
        <v>135</v>
      </c>
      <c r="D79" s="64">
        <v>2.8</v>
      </c>
      <c r="E79" s="194">
        <v>99</v>
      </c>
      <c r="F79" s="195">
        <v>120</v>
      </c>
      <c r="G79" s="74" t="s">
        <v>36</v>
      </c>
      <c r="H79" s="72" t="s">
        <v>73</v>
      </c>
      <c r="I79" s="74">
        <v>0.19</v>
      </c>
      <c r="J79" s="76">
        <v>1699</v>
      </c>
      <c r="K79" s="79" t="str">
        <f>HYPERLINK("https://amzn.to/319GJA4","link*")</f>
        <v>link*</v>
      </c>
      <c r="L79" s="79" t="str">
        <f>HYPERLINK("https://www.bhphotovideo.com/c/product/1330083-REG/zeiss_2136_695_batis_135mm_f_2_8_lens.html/BI/19619/KBID/12129/DFF/d10-v21-t1-x814884/SID/EZ","link*")</f>
        <v>link*</v>
      </c>
      <c r="M79" s="113" t="s">
        <v>51</v>
      </c>
      <c r="N79" s="79"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79" s="84">
        <v>87</v>
      </c>
      <c r="P79" s="134" t="s">
        <v>66</v>
      </c>
      <c r="Q79" s="74">
        <v>9</v>
      </c>
      <c r="R79" s="112">
        <v>43783</v>
      </c>
      <c r="S79" s="74" t="s">
        <v>87</v>
      </c>
      <c r="T79" s="88">
        <v>42826</v>
      </c>
    </row>
    <row r="80" spans="1:22" ht="13" hidden="1">
      <c r="A80" s="58" t="s">
        <v>186</v>
      </c>
      <c r="B80" s="60">
        <v>2215</v>
      </c>
      <c r="C80" s="62">
        <v>200</v>
      </c>
      <c r="D80" s="64" t="s">
        <v>187</v>
      </c>
      <c r="E80" s="194">
        <v>112</v>
      </c>
      <c r="F80" s="195">
        <v>318</v>
      </c>
      <c r="G80" s="74" t="s">
        <v>36</v>
      </c>
      <c r="H80" s="244" t="s">
        <v>152</v>
      </c>
      <c r="I80" s="74">
        <v>0.2</v>
      </c>
      <c r="J80" s="76">
        <v>1999</v>
      </c>
      <c r="K80" s="113"/>
      <c r="L80" s="79" t="str">
        <f>HYPERLINK("https://www.bhphotovideo.com/c/product/1485540-REG/sony_sel200600g_fe_200_600mm_f_5_6_6_3_g.html/BI/19619/KBID/12129/DFF/d10-v21-t1-x968882/SID/EZ","link*")</f>
        <v>link*</v>
      </c>
      <c r="M80" s="113" t="s">
        <v>51</v>
      </c>
      <c r="N80" s="79"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O80" s="84">
        <v>240</v>
      </c>
      <c r="P80" s="134" t="s">
        <v>66</v>
      </c>
      <c r="Q80" s="74">
        <v>11</v>
      </c>
      <c r="R80" s="115" t="s">
        <v>188</v>
      </c>
      <c r="S80" s="74" t="s">
        <v>41</v>
      </c>
      <c r="T80" s="88">
        <v>43647</v>
      </c>
    </row>
    <row r="81" spans="1:20" ht="13" hidden="1">
      <c r="A81" s="58" t="s">
        <v>189</v>
      </c>
      <c r="B81" s="60">
        <v>2895</v>
      </c>
      <c r="C81" s="62">
        <v>400</v>
      </c>
      <c r="D81" s="64">
        <v>2.8</v>
      </c>
      <c r="E81" s="194">
        <v>158</v>
      </c>
      <c r="F81" s="195">
        <v>359</v>
      </c>
      <c r="G81" s="74" t="s">
        <v>36</v>
      </c>
      <c r="H81" s="72" t="s">
        <v>190</v>
      </c>
      <c r="I81" s="74">
        <v>0.16</v>
      </c>
      <c r="J81" s="76">
        <v>11999</v>
      </c>
      <c r="K81" s="113"/>
      <c r="L81" s="79" t="str">
        <f>HYPERLINK("https://www.bhphotovideo.com/c/product/1369634-REG/sony_fe_400mm_f_2_8_gm.html/BI/19619/KBID/12129/DFF/d10-v21-t1-x905722/SID/EZ","link*")</f>
        <v>link*</v>
      </c>
      <c r="M81" s="113" t="s">
        <v>51</v>
      </c>
      <c r="N81" s="79"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O81" s="84">
        <v>270</v>
      </c>
      <c r="P81" s="134" t="s">
        <v>66</v>
      </c>
      <c r="Q81" s="74">
        <v>11</v>
      </c>
      <c r="R81" s="115" t="s">
        <v>191</v>
      </c>
      <c r="S81" s="74" t="s">
        <v>41</v>
      </c>
      <c r="T81" s="88">
        <v>43313</v>
      </c>
    </row>
    <row r="82" spans="1:20" ht="13" hidden="1">
      <c r="A82" s="281" t="s">
        <v>192</v>
      </c>
      <c r="B82" s="282">
        <v>3040</v>
      </c>
      <c r="C82" s="283">
        <v>600</v>
      </c>
      <c r="D82" s="284">
        <v>4</v>
      </c>
      <c r="E82" s="194">
        <v>164</v>
      </c>
      <c r="F82" s="195">
        <v>449</v>
      </c>
      <c r="G82" s="285" t="s">
        <v>36</v>
      </c>
      <c r="H82" s="286" t="s">
        <v>26</v>
      </c>
      <c r="I82" s="285">
        <v>0.14000000000000001</v>
      </c>
      <c r="J82" s="203" t="s">
        <v>193</v>
      </c>
      <c r="K82" s="113"/>
      <c r="L82" s="79" t="str">
        <f>HYPERLINK("https://www.bhphotovideo.com/c/product/1485539-REG/sony_sel600f40gm_fe_600mm_f_4_gm.html/BI/19619/KBID/12129/DFF/d10-v21-t1-x968881/SID/EZ","link*")</f>
        <v>link*</v>
      </c>
      <c r="M82" s="113" t="s">
        <v>51</v>
      </c>
      <c r="N82" s="7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82" s="287">
        <v>451</v>
      </c>
      <c r="P82" s="134" t="s">
        <v>66</v>
      </c>
      <c r="Q82" s="285">
        <v>11</v>
      </c>
      <c r="R82" s="288" t="s">
        <v>195</v>
      </c>
      <c r="S82" s="285" t="s">
        <v>41</v>
      </c>
      <c r="T82" s="289">
        <v>43678</v>
      </c>
    </row>
    <row r="83" spans="1:20" ht="13" hidden="1">
      <c r="A83" s="207"/>
      <c r="B83" s="208"/>
      <c r="C83" s="209"/>
      <c r="D83" s="210"/>
      <c r="E83" s="194"/>
      <c r="F83" s="195"/>
      <c r="G83" s="77"/>
      <c r="H83" s="212"/>
      <c r="I83" s="77"/>
      <c r="J83" s="213"/>
      <c r="K83" s="214"/>
      <c r="L83" s="214"/>
      <c r="M83" s="214"/>
      <c r="N83" s="214"/>
      <c r="O83" s="215"/>
      <c r="P83" s="77"/>
      <c r="Q83" s="77"/>
      <c r="R83" s="77"/>
      <c r="S83" s="77"/>
      <c r="T83" s="290"/>
    </row>
    <row r="84" spans="1:20" ht="13" hidden="1">
      <c r="A84" s="207"/>
      <c r="B84" s="208"/>
      <c r="C84" s="209"/>
      <c r="D84" s="210"/>
      <c r="E84" s="194"/>
      <c r="F84" s="195"/>
      <c r="G84" s="77"/>
      <c r="H84" s="212"/>
      <c r="I84" s="77"/>
      <c r="J84" s="213"/>
      <c r="K84" s="214"/>
      <c r="L84" s="214"/>
      <c r="M84" s="214"/>
      <c r="N84" s="214"/>
      <c r="O84" s="215"/>
      <c r="P84" s="77"/>
      <c r="Q84" s="77"/>
      <c r="R84" s="77"/>
      <c r="S84" s="77"/>
      <c r="T84" s="290"/>
    </row>
    <row r="85" spans="1:20" ht="13" hidden="1">
      <c r="A85" s="207"/>
      <c r="B85" s="208"/>
      <c r="C85" s="209"/>
      <c r="D85" s="210"/>
      <c r="E85" s="194"/>
      <c r="F85" s="195"/>
      <c r="G85" s="77"/>
      <c r="H85" s="212"/>
      <c r="I85" s="77"/>
      <c r="J85" s="213"/>
      <c r="K85" s="214"/>
      <c r="L85" s="214"/>
      <c r="M85" s="214"/>
      <c r="N85" s="214"/>
      <c r="O85" s="215"/>
      <c r="P85" s="77"/>
      <c r="Q85" s="77"/>
      <c r="R85" s="77"/>
      <c r="S85" s="77"/>
      <c r="T85" s="290"/>
    </row>
    <row r="86" spans="1:20" ht="13" hidden="1">
      <c r="A86" s="207"/>
      <c r="B86" s="208"/>
      <c r="C86" s="209"/>
      <c r="D86" s="210"/>
      <c r="E86" s="194"/>
      <c r="F86" s="195"/>
      <c r="G86" s="77"/>
      <c r="H86" s="212"/>
      <c r="I86" s="77"/>
      <c r="J86" s="213"/>
      <c r="K86" s="214"/>
      <c r="L86" s="214"/>
      <c r="M86" s="214"/>
      <c r="N86" s="214"/>
      <c r="O86" s="215"/>
      <c r="P86" s="77"/>
      <c r="Q86" s="77"/>
      <c r="R86" s="77"/>
      <c r="S86" s="77"/>
      <c r="T86" s="290"/>
    </row>
    <row r="87" spans="1:20" ht="13" hidden="1">
      <c r="A87" s="207"/>
      <c r="B87" s="208"/>
      <c r="C87" s="209"/>
      <c r="D87" s="210"/>
      <c r="E87" s="194"/>
      <c r="F87" s="176"/>
      <c r="G87" s="77"/>
      <c r="H87" s="212"/>
      <c r="I87" s="77"/>
      <c r="J87" s="213"/>
      <c r="K87" s="214"/>
      <c r="L87" s="214"/>
      <c r="M87" s="214"/>
      <c r="N87" s="214"/>
      <c r="O87" s="215"/>
      <c r="P87" s="77"/>
      <c r="Q87" s="77"/>
      <c r="R87" s="77"/>
      <c r="S87" s="77"/>
      <c r="T87" s="290"/>
    </row>
    <row r="88" spans="1:20" ht="13" hidden="1">
      <c r="A88" s="207"/>
      <c r="B88" s="208"/>
      <c r="C88" s="209"/>
      <c r="D88" s="210"/>
      <c r="E88" s="194"/>
      <c r="F88" s="195"/>
      <c r="G88" s="77"/>
      <c r="H88" s="212"/>
      <c r="I88" s="77"/>
      <c r="J88" s="213"/>
      <c r="K88" s="214"/>
      <c r="L88" s="214"/>
      <c r="M88" s="214"/>
      <c r="N88" s="214"/>
      <c r="O88" s="215"/>
      <c r="P88" s="77"/>
      <c r="Q88" s="77"/>
      <c r="R88" s="77"/>
      <c r="S88" s="77"/>
      <c r="T88" s="290"/>
    </row>
    <row r="89" spans="1:20" ht="13" hidden="1">
      <c r="A89" s="207"/>
      <c r="B89" s="208"/>
      <c r="C89" s="209"/>
      <c r="D89" s="210"/>
      <c r="E89" s="194"/>
      <c r="F89" s="195"/>
      <c r="G89" s="77"/>
      <c r="H89" s="212"/>
      <c r="I89" s="77"/>
      <c r="J89" s="213"/>
      <c r="K89" s="214"/>
      <c r="L89" s="214"/>
      <c r="M89" s="214"/>
      <c r="N89" s="214"/>
      <c r="O89" s="215"/>
      <c r="P89" s="77"/>
      <c r="Q89" s="77"/>
      <c r="R89" s="77"/>
      <c r="S89" s="77"/>
      <c r="T89" s="290"/>
    </row>
    <row r="90" spans="1:20" ht="13" hidden="1">
      <c r="A90" s="207"/>
      <c r="B90" s="208"/>
      <c r="C90" s="209"/>
      <c r="D90" s="210"/>
      <c r="E90" s="194"/>
      <c r="F90" s="195"/>
      <c r="G90" s="77"/>
      <c r="H90" s="212"/>
      <c r="I90" s="77"/>
      <c r="J90" s="213"/>
      <c r="K90" s="214"/>
      <c r="L90" s="214"/>
      <c r="M90" s="214"/>
      <c r="N90" s="214"/>
      <c r="O90" s="215"/>
      <c r="P90" s="77"/>
      <c r="Q90" s="77"/>
      <c r="R90" s="77"/>
      <c r="S90" s="77"/>
      <c r="T90" s="290"/>
    </row>
    <row r="91" spans="1:20" ht="13" hidden="1">
      <c r="A91" s="207"/>
      <c r="B91" s="208"/>
      <c r="C91" s="209"/>
      <c r="D91" s="210"/>
      <c r="E91" s="194"/>
      <c r="F91" s="195"/>
      <c r="G91" s="77"/>
      <c r="H91" s="212"/>
      <c r="I91" s="77"/>
      <c r="J91" s="213"/>
      <c r="K91" s="214"/>
      <c r="L91" s="214"/>
      <c r="M91" s="214"/>
      <c r="N91" s="214"/>
      <c r="O91" s="215"/>
      <c r="P91" s="77"/>
      <c r="Q91" s="77"/>
      <c r="R91" s="77"/>
      <c r="S91" s="77"/>
      <c r="T91" s="290"/>
    </row>
    <row r="92" spans="1:20" ht="13" hidden="1">
      <c r="A92" s="207"/>
      <c r="B92" s="208"/>
      <c r="C92" s="209"/>
      <c r="D92" s="210"/>
      <c r="E92" s="194"/>
      <c r="F92" s="195"/>
      <c r="G92" s="77"/>
      <c r="H92" s="212"/>
      <c r="I92" s="77"/>
      <c r="J92" s="213"/>
      <c r="K92" s="214"/>
      <c r="L92" s="214"/>
      <c r="M92" s="214"/>
      <c r="N92" s="214"/>
      <c r="O92" s="215"/>
      <c r="P92" s="77"/>
      <c r="Q92" s="77"/>
      <c r="R92" s="77"/>
      <c r="S92" s="77"/>
      <c r="T92" s="290"/>
    </row>
    <row r="93" spans="1:20" ht="13" hidden="1">
      <c r="A93" s="207"/>
      <c r="B93" s="208"/>
      <c r="C93" s="209"/>
      <c r="D93" s="210"/>
      <c r="E93" s="194"/>
      <c r="F93" s="176"/>
      <c r="G93" s="77"/>
      <c r="H93" s="212"/>
      <c r="I93" s="77"/>
      <c r="J93" s="213"/>
      <c r="K93" s="214"/>
      <c r="L93" s="214"/>
      <c r="M93" s="214"/>
      <c r="N93" s="214"/>
      <c r="O93" s="215"/>
      <c r="P93" s="77"/>
      <c r="Q93" s="77"/>
      <c r="R93" s="77"/>
      <c r="S93" s="77"/>
      <c r="T93" s="290"/>
    </row>
    <row r="94" spans="1:20" ht="13" hidden="1">
      <c r="A94" s="207"/>
      <c r="B94" s="208"/>
      <c r="C94" s="209"/>
      <c r="D94" s="210"/>
      <c r="E94" s="194"/>
      <c r="F94" s="195"/>
      <c r="G94" s="77"/>
      <c r="H94" s="212"/>
      <c r="I94" s="77"/>
      <c r="J94" s="213"/>
      <c r="K94" s="214"/>
      <c r="L94" s="214"/>
      <c r="M94" s="214"/>
      <c r="N94" s="214"/>
      <c r="O94" s="215"/>
      <c r="P94" s="77"/>
      <c r="Q94" s="77"/>
      <c r="R94" s="77"/>
      <c r="S94" s="77"/>
      <c r="T94" s="290"/>
    </row>
    <row r="95" spans="1:20" ht="13" hidden="1">
      <c r="A95" s="207"/>
      <c r="B95" s="208"/>
      <c r="C95" s="209"/>
      <c r="D95" s="210"/>
      <c r="E95" s="217"/>
      <c r="F95" s="291"/>
      <c r="G95" s="77"/>
      <c r="H95" s="212"/>
      <c r="I95" s="77"/>
      <c r="J95" s="213"/>
      <c r="K95" s="214"/>
      <c r="L95" s="214"/>
      <c r="M95" s="214"/>
      <c r="N95" s="214"/>
      <c r="O95" s="215"/>
      <c r="P95" s="77"/>
      <c r="Q95" s="77"/>
      <c r="R95" s="77"/>
      <c r="S95" s="77"/>
      <c r="T95" s="290"/>
    </row>
    <row r="96" spans="1:20" ht="13" hidden="1">
      <c r="A96" s="207"/>
      <c r="B96" s="208"/>
      <c r="C96" s="209"/>
      <c r="D96" s="210"/>
      <c r="E96" s="219"/>
      <c r="F96" s="219"/>
      <c r="G96" s="77"/>
      <c r="H96" s="212"/>
      <c r="I96" s="77"/>
      <c r="J96" s="213"/>
      <c r="K96" s="214"/>
      <c r="L96" s="214"/>
      <c r="M96" s="214"/>
      <c r="N96" s="214"/>
      <c r="O96" s="215"/>
      <c r="P96" s="77"/>
      <c r="Q96" s="77"/>
      <c r="R96" s="77"/>
      <c r="S96" s="77"/>
      <c r="T96" s="290"/>
    </row>
    <row r="97" spans="1:20" ht="13" hidden="1">
      <c r="A97" s="207"/>
      <c r="B97" s="208"/>
      <c r="C97" s="209"/>
      <c r="D97" s="210"/>
      <c r="E97" s="219"/>
      <c r="F97" s="219"/>
      <c r="G97" s="77"/>
      <c r="H97" s="212"/>
      <c r="I97" s="77"/>
      <c r="J97" s="213"/>
      <c r="K97" s="214"/>
      <c r="L97" s="214"/>
      <c r="M97" s="214"/>
      <c r="N97" s="214"/>
      <c r="O97" s="215"/>
      <c r="P97" s="77"/>
      <c r="Q97" s="77"/>
      <c r="R97" s="77"/>
      <c r="S97" s="77"/>
      <c r="T97" s="290"/>
    </row>
    <row r="98" spans="1:20" ht="13" hidden="1">
      <c r="A98" s="207"/>
      <c r="B98" s="208"/>
      <c r="C98" s="209"/>
      <c r="D98" s="210"/>
      <c r="E98" s="219"/>
      <c r="F98" s="219"/>
      <c r="G98" s="77"/>
      <c r="H98" s="212"/>
      <c r="I98" s="77"/>
      <c r="J98" s="213"/>
      <c r="K98" s="214"/>
      <c r="L98" s="214"/>
      <c r="M98" s="214"/>
      <c r="N98" s="214"/>
      <c r="O98" s="215"/>
      <c r="P98" s="77"/>
      <c r="Q98" s="77"/>
      <c r="R98" s="77"/>
      <c r="S98" s="77"/>
      <c r="T98" s="290"/>
    </row>
    <row r="99" spans="1:20" ht="13" hidden="1">
      <c r="A99" s="207"/>
      <c r="B99" s="208"/>
      <c r="C99" s="209"/>
      <c r="D99" s="210"/>
      <c r="E99" s="219"/>
      <c r="F99" s="219"/>
      <c r="G99" s="77"/>
      <c r="H99" s="212"/>
      <c r="I99" s="77"/>
      <c r="J99" s="213"/>
      <c r="K99" s="214"/>
      <c r="L99" s="214"/>
      <c r="M99" s="214"/>
      <c r="N99" s="214"/>
      <c r="O99" s="215"/>
      <c r="P99" s="77"/>
      <c r="Q99" s="77"/>
      <c r="R99" s="77"/>
      <c r="S99" s="77"/>
      <c r="T99" s="290"/>
    </row>
    <row r="100" spans="1:20" ht="13" hidden="1">
      <c r="A100" s="207"/>
      <c r="B100" s="208"/>
      <c r="C100" s="209"/>
      <c r="D100" s="210"/>
      <c r="E100" s="219"/>
      <c r="F100" s="219"/>
      <c r="G100" s="77"/>
      <c r="H100" s="212"/>
      <c r="I100" s="77"/>
      <c r="J100" s="213"/>
      <c r="K100" s="214"/>
      <c r="L100" s="214"/>
      <c r="M100" s="214"/>
      <c r="N100" s="214"/>
      <c r="O100" s="215"/>
      <c r="P100" s="77"/>
      <c r="Q100" s="77"/>
      <c r="R100" s="77"/>
      <c r="S100" s="77"/>
      <c r="T100" s="290"/>
    </row>
    <row r="101" spans="1:20" ht="13" hidden="1">
      <c r="A101" s="207"/>
      <c r="B101" s="208"/>
      <c r="C101" s="209"/>
      <c r="D101" s="210"/>
      <c r="E101" s="219"/>
      <c r="F101" s="219"/>
      <c r="G101" s="77"/>
      <c r="H101" s="212"/>
      <c r="I101" s="77"/>
      <c r="J101" s="213"/>
      <c r="K101" s="214"/>
      <c r="L101" s="214"/>
      <c r="M101" s="214"/>
      <c r="N101" s="214"/>
      <c r="O101" s="215"/>
      <c r="P101" s="77"/>
      <c r="Q101" s="77"/>
      <c r="R101" s="77"/>
      <c r="S101" s="77"/>
      <c r="T101" s="290"/>
    </row>
    <row r="102" spans="1:20" ht="13" hidden="1">
      <c r="A102" s="207"/>
      <c r="B102" s="208"/>
      <c r="C102" s="209"/>
      <c r="D102" s="210"/>
      <c r="E102" s="219"/>
      <c r="F102" s="219"/>
      <c r="G102" s="77"/>
      <c r="H102" s="212"/>
      <c r="I102" s="77"/>
      <c r="J102" s="213"/>
      <c r="K102" s="214"/>
      <c r="L102" s="214"/>
      <c r="M102" s="214"/>
      <c r="N102" s="214"/>
      <c r="O102" s="215"/>
      <c r="P102" s="77"/>
      <c r="Q102" s="77"/>
      <c r="R102" s="77"/>
      <c r="S102" s="77"/>
      <c r="T102" s="290"/>
    </row>
    <row r="103" spans="1:20" ht="15" hidden="1">
      <c r="A103" s="223" t="s">
        <v>136</v>
      </c>
      <c r="B103" s="224">
        <f>COUNT(B2:B101)</f>
        <v>80</v>
      </c>
      <c r="C103" s="77" t="s">
        <v>198</v>
      </c>
      <c r="D103" s="77"/>
      <c r="E103" s="219"/>
      <c r="F103" s="220"/>
      <c r="G103" s="77"/>
      <c r="H103" s="212"/>
      <c r="I103" s="77"/>
      <c r="J103" s="77"/>
      <c r="K103" s="214"/>
      <c r="L103" s="214"/>
      <c r="M103" s="214"/>
      <c r="N103" s="214"/>
      <c r="O103" s="77"/>
      <c r="P103" s="77"/>
      <c r="Q103" s="77"/>
      <c r="R103" s="77"/>
      <c r="S103" s="77"/>
      <c r="T103" s="77"/>
    </row>
    <row r="104" spans="1:20" ht="13" hidden="1">
      <c r="A104" s="225" t="s">
        <v>199</v>
      </c>
      <c r="E104" s="219"/>
      <c r="F104" s="220"/>
      <c r="H104" s="226"/>
      <c r="K104" s="214"/>
      <c r="L104" s="214"/>
      <c r="M104" s="214"/>
      <c r="N104" s="214"/>
    </row>
    <row r="105" spans="1:20" ht="13" hidden="1">
      <c r="A105" s="207"/>
      <c r="B105" s="77"/>
      <c r="C105" s="77"/>
      <c r="D105" s="77"/>
      <c r="E105" s="219"/>
      <c r="F105" s="220"/>
      <c r="G105" s="77"/>
      <c r="H105" s="212"/>
      <c r="I105" s="77"/>
      <c r="J105" s="77"/>
      <c r="K105" s="214"/>
      <c r="L105" s="214"/>
      <c r="M105" s="214"/>
      <c r="N105" s="214"/>
      <c r="O105" s="77"/>
      <c r="P105" s="77"/>
      <c r="Q105" s="77"/>
      <c r="R105" s="77"/>
      <c r="S105" s="77"/>
      <c r="T105" s="77"/>
    </row>
    <row r="106" spans="1:20" ht="13" hidden="1">
      <c r="A106" s="227" t="str">
        <f>HYPERLINK("https://phillipreeve.net/blog/sony-fe-lenses/fe-list/","If you have a question or want to report any mistake please leave a comment on the blog.")</f>
        <v>If you have a question or want to report any mistake please leave a comment on the blog.</v>
      </c>
      <c r="B106" s="228"/>
      <c r="C106" s="228"/>
      <c r="D106" s="228"/>
      <c r="E106" s="229"/>
      <c r="F106" s="230"/>
      <c r="G106" s="228"/>
      <c r="H106" s="231"/>
      <c r="I106" s="228"/>
      <c r="J106" s="228"/>
      <c r="K106" s="214"/>
      <c r="L106" s="214"/>
      <c r="M106" s="214"/>
      <c r="N106" s="214"/>
    </row>
    <row r="107" spans="1:20" ht="13" hidden="1">
      <c r="E107" s="219"/>
      <c r="F107" s="220"/>
      <c r="H107" s="226"/>
      <c r="K107" s="214"/>
      <c r="L107" s="214"/>
      <c r="M107" s="214"/>
      <c r="N107" s="214"/>
    </row>
    <row r="108" spans="1:20" ht="13" hidden="1">
      <c r="A108" s="207" t="s">
        <v>139</v>
      </c>
      <c r="E108" s="219"/>
      <c r="F108" s="220"/>
      <c r="H108" s="226"/>
      <c r="K108" s="214"/>
      <c r="L108" s="214"/>
      <c r="M108" s="214"/>
      <c r="N108" s="214"/>
    </row>
    <row r="109" spans="1:20" ht="13" hidden="1">
      <c r="A109" s="170" t="str">
        <f>HYPERLINK("https://phillipreeve.net/blog/fe-lenses-sony-comprehensive-independent-guide/","Our Guide to FE-mount lenses - If you need any help on finding the right lens.")</f>
        <v>Our Guide to FE-mount lenses - If you need any help on finding the right lens.</v>
      </c>
      <c r="E109" s="219"/>
      <c r="F109" s="220"/>
      <c r="H109" s="226"/>
      <c r="K109" s="214"/>
      <c r="L109" s="214"/>
      <c r="M109" s="214"/>
      <c r="N109" s="214"/>
    </row>
    <row r="110" spans="1:20" ht="13" hidden="1">
      <c r="A110" s="170" t="str">
        <f>HYPERLINK("https://phillipreeve.net/blog/9-golden-rules-to-buy-the-wrong-lens/","10 golden rules to buy the wrong lens.")</f>
        <v>10 golden rules to buy the wrong lens.</v>
      </c>
      <c r="E110" s="219"/>
      <c r="F110" s="220"/>
      <c r="H110" s="226"/>
      <c r="K110" s="214"/>
      <c r="L110" s="214"/>
      <c r="M110" s="214"/>
      <c r="N110" s="214"/>
    </row>
    <row r="111" spans="1:20" ht="13" hidden="1">
      <c r="A111" s="170" t="str">
        <f>HYPERLINK("https://phillipreeve.net/blog/user-guide-ultra-wideangle-lenses-sony-alpha-7-series/","Our Guide to Ultra-Wideangle lenses")</f>
        <v>Our Guide to Ultra-Wideangle lenses</v>
      </c>
      <c r="E111" s="219"/>
      <c r="F111" s="220"/>
      <c r="H111" s="226"/>
      <c r="K111" s="214"/>
      <c r="L111" s="214"/>
      <c r="M111" s="214"/>
      <c r="N111" s="214"/>
    </row>
    <row r="112" spans="1:20" ht="13" hidden="1">
      <c r="A112" s="170" t="str">
        <f>HYPERLINK("https://phillipreeve.net/blog/wideangle-lenses-for-the-sony-alpha-7-series/","Our Guide to Wideangle lenses")</f>
        <v>Our Guide to Wideangle lenses</v>
      </c>
      <c r="E112" s="219"/>
      <c r="F112" s="220"/>
      <c r="H112" s="226"/>
      <c r="K112" s="214"/>
      <c r="L112" s="214"/>
      <c r="M112" s="214"/>
      <c r="N112" s="214"/>
    </row>
    <row r="113" spans="1:14" ht="13" hidden="1">
      <c r="A113" s="170" t="str">
        <f>HYPERLINK("https://phillipreeve.net/blog/guide-to-macro-lenses-for-the-sony-a7-series/","Our Guide to Macro lenses")</f>
        <v>Our Guide to Macro lenses</v>
      </c>
      <c r="E113" s="219"/>
      <c r="F113" s="220"/>
      <c r="H113" s="226"/>
      <c r="K113" s="214"/>
      <c r="L113" s="214"/>
      <c r="M113" s="214"/>
      <c r="N113" s="214"/>
    </row>
    <row r="114" spans="1:14" ht="13" hidden="1">
      <c r="A114" s="170" t="str">
        <f>HYPERLINK("https://phillipreeve.net/blog/user-guide-to-portrait-lenses-sony-a7-series/","Our Guide to Portrait lenses")</f>
        <v>Our Guide to Portrait lenses</v>
      </c>
      <c r="E114" s="219"/>
      <c r="F114" s="220"/>
      <c r="H114" s="226"/>
      <c r="K114" s="214"/>
      <c r="L114" s="214"/>
      <c r="M114" s="214"/>
      <c r="N114" s="214"/>
    </row>
    <row r="115" spans="1:14" ht="13" hidden="1">
      <c r="A115" s="170" t="str">
        <f>HYPERLINK("https://phillipreeve.net/blog/building-a-lens-kit/","Building a lens kit")</f>
        <v>Building a lens kit</v>
      </c>
      <c r="E115" s="219"/>
      <c r="F115" s="220"/>
      <c r="H115" s="226"/>
      <c r="K115" s="214"/>
      <c r="L115" s="214"/>
      <c r="M115" s="214"/>
      <c r="N115" s="214"/>
    </row>
    <row r="116" spans="1:14" ht="13" hidden="1">
      <c r="A116" s="77"/>
      <c r="H116" s="226"/>
      <c r="K116" s="214"/>
      <c r="L116" s="214"/>
      <c r="M116" s="214"/>
      <c r="N116" s="214"/>
    </row>
    <row r="117" spans="1:14" ht="13" hidden="1">
      <c r="A117" s="207" t="s">
        <v>201</v>
      </c>
      <c r="H117" s="226"/>
      <c r="K117" s="214"/>
      <c r="L117" s="214"/>
      <c r="M117" s="214"/>
      <c r="N117" s="214"/>
    </row>
    <row r="118" spans="1:14" ht="13" hidden="1">
      <c r="A118" s="77" t="s">
        <v>202</v>
      </c>
      <c r="H118" s="226"/>
      <c r="K118" s="214"/>
      <c r="L118" s="214"/>
      <c r="M118" s="214"/>
      <c r="N118" s="214"/>
    </row>
    <row r="119" spans="1:14" ht="13" hidden="1">
      <c r="A119" s="77" t="s">
        <v>203</v>
      </c>
      <c r="H119" s="226"/>
      <c r="K119" s="214"/>
      <c r="L119" s="214"/>
      <c r="M119" s="214"/>
      <c r="N119" s="214"/>
    </row>
    <row r="120" spans="1:14" ht="13" hidden="1">
      <c r="A120" s="77" t="s">
        <v>204</v>
      </c>
      <c r="H120" s="226"/>
      <c r="K120" s="214"/>
      <c r="L120" s="214"/>
      <c r="M120" s="214"/>
      <c r="N120" s="214"/>
    </row>
    <row r="121" spans="1:14" ht="13" hidden="1">
      <c r="A121" s="77" t="s">
        <v>205</v>
      </c>
      <c r="H121" s="226"/>
      <c r="K121" s="214"/>
      <c r="L121" s="214"/>
      <c r="M121" s="214"/>
      <c r="N121" s="214"/>
    </row>
    <row r="122" spans="1:14" ht="13" hidden="1">
      <c r="A122" s="233"/>
      <c r="H122" s="226"/>
      <c r="K122" s="214"/>
      <c r="L122" s="214"/>
      <c r="M122" s="214"/>
      <c r="N122" s="214"/>
    </row>
    <row r="123" spans="1:14" ht="13" hidden="1">
      <c r="A123" s="207" t="s">
        <v>142</v>
      </c>
      <c r="H123" s="226"/>
      <c r="K123" s="214"/>
      <c r="L123" s="214"/>
      <c r="M123" s="214"/>
      <c r="N123" s="214"/>
    </row>
    <row r="124" spans="1:14" ht="13" hidden="1">
      <c r="A124" s="77" t="s">
        <v>206</v>
      </c>
      <c r="D124" s="233"/>
      <c r="H124" s="226"/>
      <c r="K124" s="214"/>
      <c r="L124" s="214"/>
      <c r="M124" s="214"/>
      <c r="N124" s="214"/>
    </row>
    <row r="125" spans="1:14" ht="13" hidden="1">
      <c r="A125" s="77" t="s">
        <v>144</v>
      </c>
      <c r="D125" s="233"/>
      <c r="H125" s="226"/>
      <c r="K125" s="214"/>
      <c r="L125" s="214"/>
      <c r="M125" s="214"/>
      <c r="N125" s="214"/>
    </row>
    <row r="126" spans="1:14" ht="13" hidden="1">
      <c r="H126" s="226"/>
      <c r="K126" s="214"/>
      <c r="L126" s="214"/>
      <c r="M126" s="214"/>
      <c r="N126" s="214"/>
    </row>
    <row r="127" spans="1:14" ht="13" hidden="1">
      <c r="A127" s="170" t="str">
        <f>HYPERLINK("https://phillipreeve.net/blog/impressum/","Impressum")</f>
        <v>Impressum</v>
      </c>
      <c r="H127" s="226"/>
      <c r="K127" s="214"/>
      <c r="L127" s="214"/>
      <c r="M127" s="214"/>
      <c r="N127" s="214"/>
    </row>
    <row r="128" spans="1:14" ht="13" hidden="1">
      <c r="H128" s="226"/>
      <c r="K128" s="214"/>
      <c r="L128" s="214"/>
      <c r="M128" s="214"/>
      <c r="N128" s="214"/>
    </row>
    <row r="129" spans="1:14" ht="13" hidden="1">
      <c r="H129" s="226"/>
      <c r="K129" s="214"/>
      <c r="L129" s="214"/>
      <c r="M129" s="214"/>
      <c r="N129" s="214"/>
    </row>
    <row r="130" spans="1:14" ht="13" hidden="1">
      <c r="H130" s="226"/>
      <c r="K130" s="214"/>
      <c r="L130" s="214"/>
      <c r="M130" s="214"/>
      <c r="N130" s="214"/>
    </row>
    <row r="131" spans="1:14" ht="13" hidden="1">
      <c r="H131" s="226"/>
      <c r="K131" s="214"/>
      <c r="L131" s="214"/>
      <c r="M131" s="214"/>
      <c r="N131" s="214"/>
    </row>
    <row r="132" spans="1:14" ht="13" hidden="1">
      <c r="H132" s="226"/>
      <c r="K132" s="214"/>
      <c r="L132" s="214"/>
      <c r="M132" s="214"/>
      <c r="N132" s="214"/>
    </row>
    <row r="133" spans="1:14" ht="13" hidden="1">
      <c r="A133" s="207"/>
      <c r="H133" s="226"/>
      <c r="K133" s="214"/>
      <c r="L133" s="214"/>
      <c r="M133" s="214"/>
      <c r="N133" s="214"/>
    </row>
    <row r="134" spans="1:14" ht="13" hidden="1">
      <c r="A134" s="207"/>
      <c r="H134" s="226"/>
      <c r="K134" s="214"/>
      <c r="L134" s="214"/>
      <c r="M134" s="214"/>
      <c r="N134" s="214"/>
    </row>
    <row r="135" spans="1:14" ht="13" hidden="1">
      <c r="A135" s="207"/>
      <c r="H135" s="226"/>
      <c r="K135" s="214"/>
      <c r="L135" s="214"/>
      <c r="M135" s="214"/>
      <c r="N135" s="214"/>
    </row>
    <row r="136" spans="1:14" ht="13" hidden="1">
      <c r="A136" s="207"/>
      <c r="H136" s="226"/>
      <c r="K136" s="214"/>
      <c r="L136" s="214"/>
      <c r="M136" s="214"/>
      <c r="N136" s="214"/>
    </row>
    <row r="137" spans="1:14" ht="13" hidden="1">
      <c r="A137" s="207"/>
      <c r="H137" s="226"/>
      <c r="K137" s="214"/>
      <c r="L137" s="214"/>
      <c r="M137" s="214"/>
      <c r="N137" s="214"/>
    </row>
    <row r="138" spans="1:14" ht="13" hidden="1">
      <c r="A138" s="207"/>
      <c r="H138" s="226"/>
      <c r="K138" s="214"/>
      <c r="L138" s="214"/>
      <c r="M138" s="214"/>
      <c r="N138" s="214"/>
    </row>
    <row r="139" spans="1:14" ht="13" hidden="1">
      <c r="A139" s="233"/>
      <c r="H139" s="226"/>
      <c r="K139" s="214"/>
      <c r="L139" s="214"/>
      <c r="M139" s="214"/>
      <c r="N139" s="214"/>
    </row>
    <row r="140" spans="1:14" ht="13" hidden="1">
      <c r="A140" s="207"/>
      <c r="H140" s="226"/>
      <c r="K140" s="214"/>
      <c r="L140" s="214"/>
      <c r="M140" s="214"/>
      <c r="N140" s="214"/>
    </row>
    <row r="141" spans="1:14" ht="13" hidden="1">
      <c r="A141" s="207"/>
      <c r="H141" s="226"/>
      <c r="K141" s="214"/>
      <c r="L141" s="214"/>
      <c r="M141" s="214"/>
      <c r="N141" s="214"/>
    </row>
    <row r="142" spans="1:14" ht="13" hidden="1">
      <c r="A142" s="233"/>
      <c r="H142" s="226"/>
      <c r="K142" s="214"/>
      <c r="L142" s="214"/>
      <c r="M142" s="214"/>
      <c r="N142" s="214"/>
    </row>
    <row r="143" spans="1:14" ht="13" hidden="1">
      <c r="A143" s="207"/>
      <c r="H143" s="226"/>
      <c r="K143" s="214"/>
      <c r="L143" s="214"/>
      <c r="M143" s="214"/>
      <c r="N143" s="214"/>
    </row>
    <row r="144" spans="1:14" ht="13" hidden="1">
      <c r="A144" s="207"/>
      <c r="H144" s="226"/>
      <c r="K144" s="214"/>
      <c r="L144" s="214"/>
      <c r="M144" s="214"/>
      <c r="N144" s="214"/>
    </row>
    <row r="145" spans="1:14" ht="13" hidden="1">
      <c r="A145" s="207"/>
      <c r="H145" s="226"/>
      <c r="K145" s="214"/>
      <c r="L145" s="214"/>
      <c r="M145" s="214"/>
      <c r="N145" s="214"/>
    </row>
    <row r="146" spans="1:14" ht="13" hidden="1">
      <c r="A146" s="207"/>
      <c r="H146" s="226"/>
      <c r="K146" s="214"/>
      <c r="L146" s="214"/>
      <c r="M146" s="214"/>
      <c r="N146" s="214"/>
    </row>
    <row r="147" spans="1:14" ht="13" hidden="1">
      <c r="A147" s="207"/>
      <c r="H147" s="226"/>
      <c r="K147" s="214"/>
      <c r="L147" s="214"/>
      <c r="M147" s="214"/>
      <c r="N147" s="214"/>
    </row>
    <row r="148" spans="1:14" ht="13" hidden="1">
      <c r="A148" s="207"/>
      <c r="H148" s="226"/>
      <c r="K148" s="214"/>
      <c r="L148" s="214"/>
      <c r="M148" s="214"/>
      <c r="N148" s="214"/>
    </row>
    <row r="149" spans="1:14" ht="13" hidden="1">
      <c r="A149" s="207"/>
      <c r="H149" s="226"/>
      <c r="K149" s="214"/>
      <c r="L149" s="214"/>
      <c r="M149" s="214"/>
      <c r="N149" s="214"/>
    </row>
    <row r="150" spans="1:14" ht="13" hidden="1">
      <c r="A150" s="207"/>
      <c r="H150" s="226"/>
      <c r="K150" s="214"/>
      <c r="L150" s="214"/>
      <c r="M150" s="214"/>
      <c r="N150" s="214"/>
    </row>
    <row r="151" spans="1:14" ht="13" hidden="1">
      <c r="A151" s="207"/>
      <c r="H151" s="226"/>
      <c r="K151" s="214"/>
      <c r="L151" s="214"/>
      <c r="M151" s="214"/>
      <c r="N151" s="214"/>
    </row>
    <row r="152" spans="1:14" ht="13" hidden="1">
      <c r="A152" s="233"/>
      <c r="H152" s="226"/>
      <c r="K152" s="214"/>
      <c r="L152" s="214"/>
      <c r="M152" s="214"/>
      <c r="N152" s="214"/>
    </row>
    <row r="153" spans="1:14" ht="13" hidden="1">
      <c r="A153" s="233"/>
      <c r="H153" s="226"/>
      <c r="K153" s="214"/>
      <c r="L153" s="214"/>
      <c r="M153" s="214"/>
      <c r="N153" s="214"/>
    </row>
    <row r="154" spans="1:14" ht="13" hidden="1">
      <c r="H154" s="226"/>
      <c r="K154" s="214"/>
      <c r="L154" s="214"/>
      <c r="M154" s="214"/>
      <c r="N154" s="214"/>
    </row>
    <row r="155" spans="1:14" ht="13" hidden="1">
      <c r="H155" s="226"/>
      <c r="K155" s="214"/>
      <c r="L155" s="214"/>
      <c r="M155" s="214"/>
      <c r="N155" s="214"/>
    </row>
    <row r="156" spans="1:14" ht="13" hidden="1">
      <c r="H156" s="226"/>
      <c r="K156" s="214"/>
      <c r="L156" s="214"/>
      <c r="M156" s="214"/>
      <c r="N156" s="214"/>
    </row>
    <row r="157" spans="1:14" ht="13" hidden="1">
      <c r="H157" s="226"/>
      <c r="K157" s="214"/>
      <c r="L157" s="214"/>
      <c r="M157" s="214"/>
      <c r="N157" s="214"/>
    </row>
    <row r="158" spans="1:14" ht="13" hidden="1">
      <c r="H158" s="226"/>
    </row>
    <row r="159" spans="1:14" ht="13" hidden="1">
      <c r="H159" s="226"/>
    </row>
    <row r="160" spans="1:14" ht="13" hidden="1">
      <c r="H160" s="226"/>
    </row>
    <row r="161" spans="8:8" ht="13" hidden="1">
      <c r="H161" s="226"/>
    </row>
    <row r="162" spans="8:8" ht="13" hidden="1">
      <c r="H162" s="226"/>
    </row>
    <row r="163" spans="8:8" ht="13" hidden="1">
      <c r="H163" s="226"/>
    </row>
    <row r="164" spans="8:8" ht="13" hidden="1">
      <c r="H164" s="226"/>
    </row>
    <row r="165" spans="8:8" ht="13" hidden="1">
      <c r="H165" s="226"/>
    </row>
    <row r="166" spans="8:8" ht="13" hidden="1">
      <c r="H166" s="226"/>
    </row>
    <row r="167" spans="8:8" ht="13" hidden="1">
      <c r="H167" s="226"/>
    </row>
    <row r="168" spans="8:8" ht="13" hidden="1">
      <c r="H168" s="226"/>
    </row>
    <row r="169" spans="8:8" ht="13" hidden="1">
      <c r="H169" s="226"/>
    </row>
    <row r="170" spans="8:8" ht="13" hidden="1">
      <c r="H170" s="226"/>
    </row>
    <row r="171" spans="8:8" ht="13" hidden="1">
      <c r="H171" s="226"/>
    </row>
    <row r="172" spans="8:8" ht="13" hidden="1">
      <c r="H172" s="226"/>
    </row>
    <row r="173" spans="8:8" ht="13" hidden="1">
      <c r="H173" s="226"/>
    </row>
    <row r="174" spans="8:8" ht="13" hidden="1">
      <c r="H174" s="226"/>
    </row>
    <row r="175" spans="8:8" ht="13" hidden="1">
      <c r="H175" s="226"/>
    </row>
    <row r="176" spans="8:8" ht="13" hidden="1">
      <c r="H176" s="226"/>
    </row>
    <row r="177" spans="8:8" ht="13" hidden="1">
      <c r="H177" s="226"/>
    </row>
    <row r="178" spans="8:8" ht="13" hidden="1">
      <c r="H178" s="226"/>
    </row>
    <row r="179" spans="8:8" ht="13" hidden="1">
      <c r="H179" s="226"/>
    </row>
    <row r="180" spans="8:8" ht="13" hidden="1">
      <c r="H180" s="226"/>
    </row>
    <row r="181" spans="8:8" ht="13" hidden="1">
      <c r="H181" s="226"/>
    </row>
    <row r="182" spans="8:8" ht="13" hidden="1">
      <c r="H182" s="226"/>
    </row>
    <row r="183" spans="8:8" ht="13" hidden="1">
      <c r="H183" s="226"/>
    </row>
    <row r="184" spans="8:8" ht="13" hidden="1">
      <c r="H184" s="226"/>
    </row>
    <row r="185" spans="8:8" ht="13" hidden="1">
      <c r="H185" s="226"/>
    </row>
    <row r="186" spans="8:8" ht="13" hidden="1">
      <c r="H186" s="226"/>
    </row>
    <row r="187" spans="8:8" ht="13" hidden="1">
      <c r="H187" s="226"/>
    </row>
    <row r="188" spans="8:8" ht="13" hidden="1">
      <c r="H188" s="226"/>
    </row>
    <row r="189" spans="8:8" ht="13" hidden="1">
      <c r="H189" s="226"/>
    </row>
    <row r="190" spans="8:8" ht="13" hidden="1">
      <c r="H190" s="226"/>
    </row>
    <row r="191" spans="8:8" ht="13" hidden="1">
      <c r="H191" s="226"/>
    </row>
    <row r="192" spans="8:8" ht="13" hidden="1">
      <c r="H192" s="226"/>
    </row>
    <row r="193" spans="8:8" ht="13" hidden="1">
      <c r="H193" s="226"/>
    </row>
    <row r="194" spans="8:8" ht="13" hidden="1">
      <c r="H194" s="226"/>
    </row>
    <row r="195" spans="8:8" ht="13" hidden="1">
      <c r="H195" s="226"/>
    </row>
    <row r="196" spans="8:8" ht="13" hidden="1">
      <c r="H196" s="226"/>
    </row>
    <row r="197" spans="8:8" ht="13" hidden="1">
      <c r="H197" s="226"/>
    </row>
    <row r="198" spans="8:8" ht="13" hidden="1">
      <c r="H198" s="226"/>
    </row>
    <row r="199" spans="8:8" ht="13" hidden="1">
      <c r="H199" s="226"/>
    </row>
    <row r="200" spans="8:8" ht="13" hidden="1">
      <c r="H200" s="226"/>
    </row>
    <row r="201" spans="8:8" ht="13" hidden="1">
      <c r="H201" s="226"/>
    </row>
    <row r="202" spans="8:8" ht="13" hidden="1">
      <c r="H202" s="226"/>
    </row>
    <row r="203" spans="8:8" ht="13" hidden="1">
      <c r="H203" s="226"/>
    </row>
    <row r="204" spans="8:8" ht="13" hidden="1">
      <c r="H204" s="226"/>
    </row>
    <row r="205" spans="8:8" ht="13" hidden="1">
      <c r="H205" s="226"/>
    </row>
    <row r="206" spans="8:8" ht="13" hidden="1">
      <c r="H206" s="226"/>
    </row>
    <row r="207" spans="8:8" ht="13" hidden="1">
      <c r="H207" s="226"/>
    </row>
    <row r="208" spans="8:8" ht="13" hidden="1">
      <c r="H208" s="226"/>
    </row>
    <row r="209" spans="8:8" ht="13" hidden="1">
      <c r="H209" s="226"/>
    </row>
    <row r="210" spans="8:8" ht="13" hidden="1">
      <c r="H210" s="226"/>
    </row>
    <row r="211" spans="8:8" ht="13" hidden="1">
      <c r="H211" s="226"/>
    </row>
    <row r="212" spans="8:8" ht="13" hidden="1">
      <c r="H212" s="226"/>
    </row>
    <row r="213" spans="8:8" ht="13" hidden="1">
      <c r="H213" s="226"/>
    </row>
    <row r="214" spans="8:8" ht="13" hidden="1">
      <c r="H214" s="226"/>
    </row>
    <row r="215" spans="8:8" ht="13" hidden="1">
      <c r="H215" s="226"/>
    </row>
    <row r="216" spans="8:8" ht="13" hidden="1">
      <c r="H216" s="226"/>
    </row>
    <row r="217" spans="8:8" ht="13" hidden="1">
      <c r="H217" s="226"/>
    </row>
    <row r="218" spans="8:8" ht="13" hidden="1">
      <c r="H218" s="226"/>
    </row>
    <row r="219" spans="8:8" ht="13" hidden="1">
      <c r="H219" s="226"/>
    </row>
    <row r="220" spans="8:8" ht="13" hidden="1">
      <c r="H220" s="226"/>
    </row>
    <row r="221" spans="8:8" ht="13" hidden="1">
      <c r="H221" s="226"/>
    </row>
    <row r="222" spans="8:8" ht="13" hidden="1">
      <c r="H222" s="226"/>
    </row>
    <row r="223" spans="8:8" ht="13" hidden="1">
      <c r="H223" s="226"/>
    </row>
    <row r="224" spans="8:8" ht="13" hidden="1">
      <c r="H224" s="226"/>
    </row>
    <row r="225" spans="8:8" ht="13" hidden="1">
      <c r="H225" s="226"/>
    </row>
    <row r="226" spans="8:8" ht="13" hidden="1">
      <c r="H226" s="226"/>
    </row>
    <row r="227" spans="8:8" ht="13" hidden="1">
      <c r="H227" s="226"/>
    </row>
    <row r="228" spans="8:8" ht="13" hidden="1">
      <c r="H228" s="226"/>
    </row>
    <row r="229" spans="8:8" ht="13" hidden="1">
      <c r="H229" s="226"/>
    </row>
    <row r="230" spans="8:8" ht="13" hidden="1">
      <c r="H230" s="226"/>
    </row>
    <row r="231" spans="8:8" ht="13" hidden="1">
      <c r="H231" s="226"/>
    </row>
    <row r="232" spans="8:8" ht="13" hidden="1">
      <c r="H232" s="226"/>
    </row>
    <row r="233" spans="8:8" ht="13" hidden="1">
      <c r="H233" s="226"/>
    </row>
    <row r="234" spans="8:8" ht="13" hidden="1">
      <c r="H234" s="226"/>
    </row>
    <row r="235" spans="8:8" ht="13" hidden="1">
      <c r="H235" s="226"/>
    </row>
    <row r="236" spans="8:8" ht="13" hidden="1">
      <c r="H236" s="226"/>
    </row>
    <row r="237" spans="8:8" ht="13" hidden="1">
      <c r="H237" s="226"/>
    </row>
    <row r="238" spans="8:8" ht="13" hidden="1">
      <c r="H238" s="226"/>
    </row>
    <row r="239" spans="8:8" ht="13" hidden="1">
      <c r="H239" s="226"/>
    </row>
    <row r="240" spans="8:8" ht="13" hidden="1">
      <c r="H240" s="226"/>
    </row>
    <row r="241" spans="8:8" ht="13" hidden="1">
      <c r="H241" s="226"/>
    </row>
    <row r="242" spans="8:8" ht="13" hidden="1">
      <c r="H242" s="226"/>
    </row>
    <row r="243" spans="8:8" ht="13" hidden="1">
      <c r="H243" s="226"/>
    </row>
    <row r="244" spans="8:8" ht="13" hidden="1">
      <c r="H244" s="226"/>
    </row>
    <row r="245" spans="8:8" ht="13" hidden="1">
      <c r="H245" s="226"/>
    </row>
    <row r="246" spans="8:8" ht="13" hidden="1">
      <c r="H246" s="226"/>
    </row>
    <row r="247" spans="8:8" ht="13" hidden="1">
      <c r="H247" s="226"/>
    </row>
    <row r="248" spans="8:8" ht="13" hidden="1">
      <c r="H248" s="226"/>
    </row>
    <row r="249" spans="8:8" ht="13" hidden="1">
      <c r="H249" s="226"/>
    </row>
    <row r="250" spans="8:8" ht="13" hidden="1">
      <c r="H250" s="226"/>
    </row>
    <row r="251" spans="8:8" ht="13" hidden="1">
      <c r="H251" s="226"/>
    </row>
    <row r="252" spans="8:8" ht="13" hidden="1">
      <c r="H252" s="226"/>
    </row>
    <row r="253" spans="8:8" ht="13" hidden="1">
      <c r="H253" s="226"/>
    </row>
    <row r="254" spans="8:8" ht="13" hidden="1">
      <c r="H254" s="226"/>
    </row>
    <row r="255" spans="8:8" ht="13" hidden="1">
      <c r="H255" s="226"/>
    </row>
    <row r="256" spans="8:8" ht="13" hidden="1">
      <c r="H256" s="226"/>
    </row>
    <row r="257" spans="8:8" ht="13" hidden="1">
      <c r="H257" s="226"/>
    </row>
    <row r="258" spans="8:8" ht="13" hidden="1">
      <c r="H258" s="226"/>
    </row>
    <row r="259" spans="8:8" ht="13" hidden="1">
      <c r="H259" s="226"/>
    </row>
    <row r="260" spans="8:8" ht="13" hidden="1">
      <c r="H260" s="226"/>
    </row>
    <row r="261" spans="8:8" ht="13" hidden="1">
      <c r="H261" s="226"/>
    </row>
    <row r="262" spans="8:8" ht="13" hidden="1">
      <c r="H262" s="226"/>
    </row>
    <row r="263" spans="8:8" ht="13" hidden="1">
      <c r="H263" s="226"/>
    </row>
    <row r="264" spans="8:8" ht="13" hidden="1">
      <c r="H264" s="226"/>
    </row>
    <row r="265" spans="8:8" ht="13" hidden="1">
      <c r="H265" s="226"/>
    </row>
    <row r="266" spans="8:8" ht="13" hidden="1">
      <c r="H266" s="226"/>
    </row>
    <row r="267" spans="8:8" ht="13" hidden="1">
      <c r="H267" s="226"/>
    </row>
    <row r="268" spans="8:8" ht="13" hidden="1">
      <c r="H268" s="226"/>
    </row>
    <row r="269" spans="8:8" ht="13" hidden="1">
      <c r="H269" s="226"/>
    </row>
    <row r="270" spans="8:8" ht="13" hidden="1">
      <c r="H270" s="226"/>
    </row>
    <row r="271" spans="8:8" ht="13" hidden="1">
      <c r="H271" s="226"/>
    </row>
    <row r="272" spans="8:8" ht="13" hidden="1">
      <c r="H272" s="226"/>
    </row>
    <row r="273" spans="8:8" ht="13" hidden="1">
      <c r="H273" s="226"/>
    </row>
    <row r="274" spans="8:8" ht="13" hidden="1">
      <c r="H274" s="226"/>
    </row>
    <row r="275" spans="8:8" ht="13" hidden="1">
      <c r="H275" s="226"/>
    </row>
    <row r="276" spans="8:8" ht="13" hidden="1">
      <c r="H276" s="226"/>
    </row>
    <row r="277" spans="8:8" ht="13" hidden="1">
      <c r="H277" s="226"/>
    </row>
    <row r="278" spans="8:8" ht="13" hidden="1">
      <c r="H278" s="226"/>
    </row>
    <row r="279" spans="8:8" ht="13" hidden="1">
      <c r="H279" s="226"/>
    </row>
    <row r="280" spans="8:8" ht="13" hidden="1">
      <c r="H280" s="226"/>
    </row>
    <row r="281" spans="8:8" ht="13" hidden="1">
      <c r="H281" s="226"/>
    </row>
    <row r="282" spans="8:8" ht="13" hidden="1">
      <c r="H282" s="226"/>
    </row>
    <row r="283" spans="8:8" ht="13" hidden="1">
      <c r="H283" s="226"/>
    </row>
    <row r="284" spans="8:8" ht="13" hidden="1">
      <c r="H284" s="226"/>
    </row>
    <row r="285" spans="8:8" ht="13" hidden="1">
      <c r="H285" s="226"/>
    </row>
    <row r="286" spans="8:8" ht="13" hidden="1">
      <c r="H286" s="226"/>
    </row>
    <row r="287" spans="8:8" ht="13" hidden="1">
      <c r="H287" s="226"/>
    </row>
    <row r="288" spans="8:8" ht="13" hidden="1">
      <c r="H288" s="226"/>
    </row>
    <row r="289" spans="8:8" ht="13" hidden="1">
      <c r="H289" s="226"/>
    </row>
    <row r="290" spans="8:8" ht="13" hidden="1">
      <c r="H290" s="226"/>
    </row>
    <row r="291" spans="8:8" ht="13" hidden="1">
      <c r="H291" s="226"/>
    </row>
    <row r="292" spans="8:8" ht="13" hidden="1">
      <c r="H292" s="226"/>
    </row>
    <row r="293" spans="8:8" ht="13" hidden="1">
      <c r="H293" s="226"/>
    </row>
    <row r="294" spans="8:8" ht="13" hidden="1">
      <c r="H294" s="226"/>
    </row>
    <row r="295" spans="8:8" ht="13" hidden="1">
      <c r="H295" s="226"/>
    </row>
    <row r="296" spans="8:8" ht="13" hidden="1">
      <c r="H296" s="226"/>
    </row>
    <row r="297" spans="8:8" ht="13" hidden="1">
      <c r="H297" s="226"/>
    </row>
    <row r="298" spans="8:8" ht="13" hidden="1">
      <c r="H298" s="226"/>
    </row>
    <row r="299" spans="8:8" ht="13" hidden="1">
      <c r="H299" s="226"/>
    </row>
    <row r="300" spans="8:8" ht="13" hidden="1">
      <c r="H300" s="226"/>
    </row>
    <row r="301" spans="8:8" ht="13" hidden="1">
      <c r="H301" s="226"/>
    </row>
    <row r="302" spans="8:8" ht="13" hidden="1">
      <c r="H302" s="226"/>
    </row>
    <row r="303" spans="8:8" ht="13" hidden="1">
      <c r="H303" s="226"/>
    </row>
    <row r="304" spans="8:8" ht="13" hidden="1">
      <c r="H304" s="226"/>
    </row>
    <row r="305" spans="8:8" ht="13" hidden="1">
      <c r="H305" s="226"/>
    </row>
    <row r="306" spans="8:8" ht="13" hidden="1">
      <c r="H306" s="226"/>
    </row>
    <row r="307" spans="8:8" ht="13" hidden="1">
      <c r="H307" s="226"/>
    </row>
    <row r="308" spans="8:8" ht="13" hidden="1">
      <c r="H308" s="226"/>
    </row>
    <row r="309" spans="8:8" ht="13" hidden="1">
      <c r="H309" s="226"/>
    </row>
    <row r="310" spans="8:8" ht="13" hidden="1">
      <c r="H310" s="226"/>
    </row>
    <row r="311" spans="8:8" ht="13" hidden="1">
      <c r="H311" s="226"/>
    </row>
    <row r="312" spans="8:8" ht="13" hidden="1">
      <c r="H312" s="226"/>
    </row>
    <row r="313" spans="8:8" ht="13" hidden="1">
      <c r="H313" s="226"/>
    </row>
    <row r="314" spans="8:8" ht="13" hidden="1">
      <c r="H314" s="226"/>
    </row>
    <row r="315" spans="8:8" ht="13" hidden="1">
      <c r="H315" s="226"/>
    </row>
    <row r="316" spans="8:8" ht="13" hidden="1">
      <c r="H316" s="226"/>
    </row>
    <row r="317" spans="8:8" ht="13" hidden="1">
      <c r="H317" s="226"/>
    </row>
    <row r="318" spans="8:8" ht="13" hidden="1">
      <c r="H318" s="226"/>
    </row>
    <row r="319" spans="8:8" ht="13" hidden="1">
      <c r="H319" s="226"/>
    </row>
    <row r="320" spans="8:8" ht="13" hidden="1">
      <c r="H320" s="226"/>
    </row>
    <row r="321" spans="8:8" ht="13" hidden="1">
      <c r="H321" s="226"/>
    </row>
    <row r="322" spans="8:8" ht="13" hidden="1">
      <c r="H322" s="226"/>
    </row>
    <row r="323" spans="8:8" ht="13" hidden="1">
      <c r="H323" s="226"/>
    </row>
    <row r="324" spans="8:8" ht="13" hidden="1">
      <c r="H324" s="226"/>
    </row>
    <row r="325" spans="8:8" ht="13" hidden="1">
      <c r="H325" s="226"/>
    </row>
    <row r="326" spans="8:8" ht="13" hidden="1">
      <c r="H326" s="226"/>
    </row>
    <row r="327" spans="8:8" ht="13" hidden="1">
      <c r="H327" s="226"/>
    </row>
    <row r="328" spans="8:8" ht="13" hidden="1">
      <c r="H328" s="226"/>
    </row>
    <row r="329" spans="8:8" ht="13" hidden="1">
      <c r="H329" s="226"/>
    </row>
    <row r="330" spans="8:8" ht="13" hidden="1">
      <c r="H330" s="226"/>
    </row>
    <row r="331" spans="8:8" ht="13" hidden="1">
      <c r="H331" s="226"/>
    </row>
    <row r="332" spans="8:8" ht="13" hidden="1">
      <c r="H332" s="226"/>
    </row>
    <row r="333" spans="8:8" ht="13" hidden="1">
      <c r="H333" s="226"/>
    </row>
    <row r="334" spans="8:8" ht="13" hidden="1">
      <c r="H334" s="226"/>
    </row>
    <row r="335" spans="8:8" ht="13" hidden="1">
      <c r="H335" s="226"/>
    </row>
    <row r="336" spans="8:8" ht="13" hidden="1">
      <c r="H336" s="226"/>
    </row>
    <row r="337" spans="8:8" ht="13" hidden="1">
      <c r="H337" s="226"/>
    </row>
    <row r="338" spans="8:8" ht="13" hidden="1">
      <c r="H338" s="226"/>
    </row>
    <row r="339" spans="8:8" ht="13" hidden="1">
      <c r="H339" s="226"/>
    </row>
    <row r="340" spans="8:8" ht="13" hidden="1">
      <c r="H340" s="226"/>
    </row>
    <row r="341" spans="8:8" ht="13" hidden="1">
      <c r="H341" s="226"/>
    </row>
    <row r="342" spans="8:8" ht="13" hidden="1">
      <c r="H342" s="226"/>
    </row>
    <row r="343" spans="8:8" ht="13" hidden="1">
      <c r="H343" s="226"/>
    </row>
    <row r="344" spans="8:8" ht="13" hidden="1">
      <c r="H344" s="226"/>
    </row>
    <row r="345" spans="8:8" ht="13" hidden="1">
      <c r="H345" s="226"/>
    </row>
    <row r="346" spans="8:8" ht="13" hidden="1">
      <c r="H346" s="226"/>
    </row>
    <row r="347" spans="8:8" ht="13" hidden="1">
      <c r="H347" s="226"/>
    </row>
    <row r="348" spans="8:8" ht="13" hidden="1">
      <c r="H348" s="226"/>
    </row>
    <row r="349" spans="8:8" ht="13" hidden="1">
      <c r="H349" s="226"/>
    </row>
    <row r="350" spans="8:8" ht="13" hidden="1">
      <c r="H350" s="226"/>
    </row>
    <row r="351" spans="8:8" ht="13" hidden="1">
      <c r="H351" s="226"/>
    </row>
    <row r="352" spans="8:8" ht="13" hidden="1">
      <c r="H352" s="226"/>
    </row>
    <row r="353" spans="8:8" ht="13" hidden="1">
      <c r="H353" s="226"/>
    </row>
    <row r="354" spans="8:8" ht="13" hidden="1">
      <c r="H354" s="226"/>
    </row>
    <row r="355" spans="8:8" ht="13" hidden="1">
      <c r="H355" s="226"/>
    </row>
    <row r="356" spans="8:8" ht="13" hidden="1">
      <c r="H356" s="226"/>
    </row>
    <row r="357" spans="8:8" ht="13" hidden="1">
      <c r="H357" s="226"/>
    </row>
    <row r="358" spans="8:8" ht="13" hidden="1">
      <c r="H358" s="226"/>
    </row>
    <row r="359" spans="8:8" ht="13" hidden="1">
      <c r="H359" s="226"/>
    </row>
    <row r="360" spans="8:8" ht="13" hidden="1">
      <c r="H360" s="226"/>
    </row>
    <row r="361" spans="8:8" ht="13" hidden="1">
      <c r="H361" s="226"/>
    </row>
    <row r="362" spans="8:8" ht="13" hidden="1">
      <c r="H362" s="226"/>
    </row>
    <row r="363" spans="8:8" ht="13" hidden="1">
      <c r="H363" s="226"/>
    </row>
    <row r="364" spans="8:8" ht="13" hidden="1">
      <c r="H364" s="226"/>
    </row>
    <row r="365" spans="8:8" ht="13" hidden="1">
      <c r="H365" s="226"/>
    </row>
    <row r="366" spans="8:8" ht="13" hidden="1">
      <c r="H366" s="226"/>
    </row>
    <row r="367" spans="8:8" ht="13" hidden="1">
      <c r="H367" s="226"/>
    </row>
    <row r="368" spans="8:8" ht="13" hidden="1">
      <c r="H368" s="226"/>
    </row>
    <row r="369" spans="8:8" ht="13" hidden="1">
      <c r="H369" s="226"/>
    </row>
    <row r="370" spans="8:8" ht="13" hidden="1">
      <c r="H370" s="226"/>
    </row>
    <row r="371" spans="8:8" ht="13" hidden="1">
      <c r="H371" s="226"/>
    </row>
    <row r="372" spans="8:8" ht="13" hidden="1">
      <c r="H372" s="226"/>
    </row>
    <row r="373" spans="8:8" ht="13" hidden="1">
      <c r="H373" s="226"/>
    </row>
    <row r="374" spans="8:8" ht="13" hidden="1">
      <c r="H374" s="226"/>
    </row>
    <row r="375" spans="8:8" ht="13" hidden="1">
      <c r="H375" s="226"/>
    </row>
    <row r="376" spans="8:8" ht="13" hidden="1">
      <c r="H376" s="226"/>
    </row>
    <row r="377" spans="8:8" ht="13" hidden="1">
      <c r="H377" s="226"/>
    </row>
    <row r="378" spans="8:8" ht="13" hidden="1">
      <c r="H378" s="226"/>
    </row>
    <row r="379" spans="8:8" ht="13" hidden="1">
      <c r="H379" s="226"/>
    </row>
    <row r="380" spans="8:8" ht="13" hidden="1">
      <c r="H380" s="226"/>
    </row>
    <row r="381" spans="8:8" ht="13" hidden="1">
      <c r="H381" s="226"/>
    </row>
    <row r="382" spans="8:8" ht="13" hidden="1">
      <c r="H382" s="226"/>
    </row>
    <row r="383" spans="8:8" ht="13" hidden="1">
      <c r="H383" s="226"/>
    </row>
    <row r="384" spans="8:8" ht="13" hidden="1">
      <c r="H384" s="226"/>
    </row>
    <row r="385" spans="8:8" ht="13" hidden="1">
      <c r="H385" s="226"/>
    </row>
    <row r="386" spans="8:8" ht="13" hidden="1">
      <c r="H386" s="226"/>
    </row>
    <row r="387" spans="8:8" ht="13" hidden="1">
      <c r="H387" s="226"/>
    </row>
    <row r="388" spans="8:8" ht="13" hidden="1">
      <c r="H388" s="226"/>
    </row>
    <row r="389" spans="8:8" ht="13" hidden="1">
      <c r="H389" s="226"/>
    </row>
    <row r="390" spans="8:8" ht="13" hidden="1">
      <c r="H390" s="226"/>
    </row>
    <row r="391" spans="8:8" ht="13" hidden="1">
      <c r="H391" s="226"/>
    </row>
    <row r="392" spans="8:8" ht="13" hidden="1">
      <c r="H392" s="226"/>
    </row>
    <row r="393" spans="8:8" ht="13" hidden="1">
      <c r="H393" s="226"/>
    </row>
    <row r="394" spans="8:8" ht="13" hidden="1">
      <c r="H394" s="226"/>
    </row>
    <row r="395" spans="8:8" ht="13" hidden="1">
      <c r="H395" s="226"/>
    </row>
    <row r="396" spans="8:8" ht="13" hidden="1">
      <c r="H396" s="226"/>
    </row>
    <row r="397" spans="8:8" ht="13" hidden="1">
      <c r="H397" s="226"/>
    </row>
    <row r="398" spans="8:8" ht="13" hidden="1">
      <c r="H398" s="226"/>
    </row>
    <row r="399" spans="8:8" ht="13" hidden="1">
      <c r="H399" s="226"/>
    </row>
    <row r="400" spans="8:8" ht="13" hidden="1">
      <c r="H400" s="226"/>
    </row>
    <row r="401" spans="8:8" ht="13" hidden="1">
      <c r="H401" s="226"/>
    </row>
    <row r="402" spans="8:8" ht="13" hidden="1">
      <c r="H402" s="226"/>
    </row>
    <row r="403" spans="8:8" ht="13" hidden="1">
      <c r="H403" s="226"/>
    </row>
    <row r="404" spans="8:8" ht="13" hidden="1">
      <c r="H404" s="226"/>
    </row>
    <row r="405" spans="8:8" ht="13" hidden="1">
      <c r="H405" s="226"/>
    </row>
    <row r="406" spans="8:8" ht="13" hidden="1">
      <c r="H406" s="226"/>
    </row>
    <row r="407" spans="8:8" ht="13" hidden="1">
      <c r="H407" s="226"/>
    </row>
    <row r="408" spans="8:8" ht="13" hidden="1">
      <c r="H408" s="226"/>
    </row>
    <row r="409" spans="8:8" ht="13" hidden="1">
      <c r="H409" s="226"/>
    </row>
    <row r="410" spans="8:8" ht="13" hidden="1">
      <c r="H410" s="226"/>
    </row>
    <row r="411" spans="8:8" ht="13" hidden="1">
      <c r="H411" s="226"/>
    </row>
    <row r="412" spans="8:8" ht="13" hidden="1">
      <c r="H412" s="226"/>
    </row>
    <row r="413" spans="8:8" ht="13" hidden="1">
      <c r="H413" s="226"/>
    </row>
    <row r="414" spans="8:8" ht="13" hidden="1">
      <c r="H414" s="226"/>
    </row>
    <row r="415" spans="8:8" ht="13" hidden="1">
      <c r="H415" s="226"/>
    </row>
    <row r="416" spans="8:8" ht="13" hidden="1">
      <c r="H416" s="226"/>
    </row>
    <row r="417" spans="8:8" ht="13" hidden="1">
      <c r="H417" s="226"/>
    </row>
    <row r="418" spans="8:8" ht="13" hidden="1">
      <c r="H418" s="226"/>
    </row>
    <row r="419" spans="8:8" ht="13" hidden="1">
      <c r="H419" s="226"/>
    </row>
    <row r="420" spans="8:8" ht="13" hidden="1">
      <c r="H420" s="226"/>
    </row>
    <row r="421" spans="8:8" ht="13" hidden="1">
      <c r="H421" s="226"/>
    </row>
    <row r="422" spans="8:8" ht="13" hidden="1">
      <c r="H422" s="226"/>
    </row>
    <row r="423" spans="8:8" ht="13" hidden="1">
      <c r="H423" s="226"/>
    </row>
    <row r="424" spans="8:8" ht="13" hidden="1">
      <c r="H424" s="226"/>
    </row>
    <row r="425" spans="8:8" ht="13" hidden="1">
      <c r="H425" s="226"/>
    </row>
    <row r="426" spans="8:8" ht="13" hidden="1">
      <c r="H426" s="226"/>
    </row>
    <row r="427" spans="8:8" ht="13" hidden="1">
      <c r="H427" s="226"/>
    </row>
    <row r="428" spans="8:8" ht="13" hidden="1">
      <c r="H428" s="226"/>
    </row>
    <row r="429" spans="8:8" ht="13" hidden="1">
      <c r="H429" s="226"/>
    </row>
    <row r="430" spans="8:8" ht="13" hidden="1">
      <c r="H430" s="226"/>
    </row>
    <row r="431" spans="8:8" ht="13" hidden="1">
      <c r="H431" s="226"/>
    </row>
    <row r="432" spans="8:8" ht="13" hidden="1">
      <c r="H432" s="226"/>
    </row>
    <row r="433" spans="8:8" ht="13" hidden="1">
      <c r="H433" s="226"/>
    </row>
    <row r="434" spans="8:8" ht="13" hidden="1">
      <c r="H434" s="226"/>
    </row>
    <row r="435" spans="8:8" ht="13" hidden="1">
      <c r="H435" s="226"/>
    </row>
    <row r="436" spans="8:8" ht="13" hidden="1">
      <c r="H436" s="226"/>
    </row>
    <row r="437" spans="8:8" ht="13" hidden="1">
      <c r="H437" s="226"/>
    </row>
    <row r="438" spans="8:8" ht="13" hidden="1">
      <c r="H438" s="226"/>
    </row>
    <row r="439" spans="8:8" ht="13" hidden="1">
      <c r="H439" s="226"/>
    </row>
    <row r="440" spans="8:8" ht="13" hidden="1">
      <c r="H440" s="226"/>
    </row>
    <row r="441" spans="8:8" ht="13" hidden="1">
      <c r="H441" s="226"/>
    </row>
    <row r="442" spans="8:8" ht="13" hidden="1">
      <c r="H442" s="226"/>
    </row>
    <row r="443" spans="8:8" ht="13" hidden="1">
      <c r="H443" s="226"/>
    </row>
    <row r="444" spans="8:8" ht="13" hidden="1">
      <c r="H444" s="226"/>
    </row>
    <row r="445" spans="8:8" ht="13" hidden="1">
      <c r="H445" s="226"/>
    </row>
    <row r="446" spans="8:8" ht="13" hidden="1">
      <c r="H446" s="226"/>
    </row>
    <row r="447" spans="8:8" ht="13" hidden="1">
      <c r="H447" s="226"/>
    </row>
    <row r="448" spans="8:8" ht="13" hidden="1">
      <c r="H448" s="226"/>
    </row>
    <row r="449" spans="8:8" ht="13" hidden="1">
      <c r="H449" s="226"/>
    </row>
    <row r="450" spans="8:8" ht="13" hidden="1">
      <c r="H450" s="226"/>
    </row>
    <row r="451" spans="8:8" ht="13" hidden="1">
      <c r="H451" s="226"/>
    </row>
    <row r="452" spans="8:8" ht="13" hidden="1">
      <c r="H452" s="226"/>
    </row>
    <row r="453" spans="8:8" ht="13" hidden="1">
      <c r="H453" s="226"/>
    </row>
    <row r="454" spans="8:8" ht="13" hidden="1">
      <c r="H454" s="226"/>
    </row>
    <row r="455" spans="8:8" ht="13" hidden="1">
      <c r="H455" s="226"/>
    </row>
    <row r="456" spans="8:8" ht="13" hidden="1">
      <c r="H456" s="226"/>
    </row>
    <row r="457" spans="8:8" ht="13" hidden="1">
      <c r="H457" s="226"/>
    </row>
    <row r="458" spans="8:8" ht="13" hidden="1">
      <c r="H458" s="226"/>
    </row>
    <row r="459" spans="8:8" ht="13" hidden="1">
      <c r="H459" s="226"/>
    </row>
    <row r="460" spans="8:8" ht="13" hidden="1">
      <c r="H460" s="226"/>
    </row>
    <row r="461" spans="8:8" ht="13" hidden="1">
      <c r="H461" s="226"/>
    </row>
    <row r="462" spans="8:8" ht="13" hidden="1">
      <c r="H462" s="226"/>
    </row>
    <row r="463" spans="8:8" ht="13" hidden="1">
      <c r="H463" s="226"/>
    </row>
    <row r="464" spans="8:8" ht="13" hidden="1">
      <c r="H464" s="226"/>
    </row>
    <row r="465" spans="8:8" ht="13" hidden="1">
      <c r="H465" s="226"/>
    </row>
    <row r="466" spans="8:8" ht="13" hidden="1">
      <c r="H466" s="226"/>
    </row>
    <row r="467" spans="8:8" ht="13" hidden="1">
      <c r="H467" s="226"/>
    </row>
    <row r="468" spans="8:8" ht="13" hidden="1">
      <c r="H468" s="226"/>
    </row>
    <row r="469" spans="8:8" ht="13" hidden="1">
      <c r="H469" s="226"/>
    </row>
    <row r="470" spans="8:8" ht="13" hidden="1">
      <c r="H470" s="226"/>
    </row>
    <row r="471" spans="8:8" ht="13" hidden="1">
      <c r="H471" s="226"/>
    </row>
    <row r="472" spans="8:8" ht="13" hidden="1">
      <c r="H472" s="226"/>
    </row>
    <row r="473" spans="8:8" ht="13" hidden="1">
      <c r="H473" s="226"/>
    </row>
    <row r="474" spans="8:8" ht="13" hidden="1">
      <c r="H474" s="226"/>
    </row>
    <row r="475" spans="8:8" ht="13" hidden="1">
      <c r="H475" s="226"/>
    </row>
    <row r="476" spans="8:8" ht="13" hidden="1">
      <c r="H476" s="226"/>
    </row>
    <row r="477" spans="8:8" ht="13" hidden="1">
      <c r="H477" s="226"/>
    </row>
    <row r="478" spans="8:8" ht="13" hidden="1">
      <c r="H478" s="226"/>
    </row>
    <row r="479" spans="8:8" ht="13" hidden="1">
      <c r="H479" s="226"/>
    </row>
    <row r="480" spans="8:8" ht="13" hidden="1">
      <c r="H480" s="226"/>
    </row>
    <row r="481" spans="8:8" ht="13" hidden="1">
      <c r="H481" s="226"/>
    </row>
    <row r="482" spans="8:8" ht="13" hidden="1">
      <c r="H482" s="226"/>
    </row>
    <row r="483" spans="8:8" ht="13" hidden="1">
      <c r="H483" s="226"/>
    </row>
    <row r="484" spans="8:8" ht="13" hidden="1">
      <c r="H484" s="226"/>
    </row>
    <row r="485" spans="8:8" ht="13" hidden="1">
      <c r="H485" s="226"/>
    </row>
    <row r="486" spans="8:8" ht="13" hidden="1">
      <c r="H486" s="226"/>
    </row>
    <row r="487" spans="8:8" ht="13" hidden="1">
      <c r="H487" s="226"/>
    </row>
    <row r="488" spans="8:8" ht="13" hidden="1">
      <c r="H488" s="226"/>
    </row>
    <row r="489" spans="8:8" ht="13" hidden="1">
      <c r="H489" s="226"/>
    </row>
    <row r="490" spans="8:8" ht="13" hidden="1">
      <c r="H490" s="226"/>
    </row>
    <row r="491" spans="8:8" ht="13" hidden="1">
      <c r="H491" s="226"/>
    </row>
    <row r="492" spans="8:8" ht="13" hidden="1">
      <c r="H492" s="226"/>
    </row>
    <row r="493" spans="8:8" ht="13" hidden="1">
      <c r="H493" s="226"/>
    </row>
    <row r="494" spans="8:8" ht="13" hidden="1">
      <c r="H494" s="226"/>
    </row>
    <row r="495" spans="8:8" ht="13" hidden="1">
      <c r="H495" s="226"/>
    </row>
    <row r="496" spans="8:8" ht="13" hidden="1">
      <c r="H496" s="226"/>
    </row>
    <row r="497" spans="8:8" ht="13" hidden="1">
      <c r="H497" s="226"/>
    </row>
    <row r="498" spans="8:8" ht="13" hidden="1">
      <c r="H498" s="226"/>
    </row>
    <row r="499" spans="8:8" ht="13" hidden="1">
      <c r="H499" s="226"/>
    </row>
    <row r="500" spans="8:8" ht="13" hidden="1">
      <c r="H500" s="226"/>
    </row>
    <row r="501" spans="8:8" ht="13" hidden="1">
      <c r="H501" s="226"/>
    </row>
    <row r="502" spans="8:8" ht="13" hidden="1">
      <c r="H502" s="226"/>
    </row>
    <row r="503" spans="8:8" ht="13" hidden="1">
      <c r="H503" s="226"/>
    </row>
    <row r="504" spans="8:8" ht="13" hidden="1">
      <c r="H504" s="226"/>
    </row>
    <row r="505" spans="8:8" ht="13" hidden="1">
      <c r="H505" s="226"/>
    </row>
    <row r="506" spans="8:8" ht="13" hidden="1">
      <c r="H506" s="226"/>
    </row>
    <row r="507" spans="8:8" ht="13" hidden="1">
      <c r="H507" s="226"/>
    </row>
    <row r="508" spans="8:8" ht="13" hidden="1">
      <c r="H508" s="226"/>
    </row>
    <row r="509" spans="8:8" ht="13" hidden="1">
      <c r="H509" s="226"/>
    </row>
    <row r="510" spans="8:8" ht="13" hidden="1">
      <c r="H510" s="226"/>
    </row>
    <row r="511" spans="8:8" ht="13" hidden="1">
      <c r="H511" s="226"/>
    </row>
    <row r="512" spans="8:8" ht="13" hidden="1">
      <c r="H512" s="226"/>
    </row>
    <row r="513" spans="8:8" ht="13" hidden="1">
      <c r="H513" s="226"/>
    </row>
    <row r="514" spans="8:8" ht="13" hidden="1">
      <c r="H514" s="226"/>
    </row>
    <row r="515" spans="8:8" ht="13" hidden="1">
      <c r="H515" s="226"/>
    </row>
    <row r="516" spans="8:8" ht="13" hidden="1">
      <c r="H516" s="226"/>
    </row>
    <row r="517" spans="8:8" ht="13" hidden="1">
      <c r="H517" s="226"/>
    </row>
    <row r="518" spans="8:8" ht="13" hidden="1">
      <c r="H518" s="226"/>
    </row>
    <row r="519" spans="8:8" ht="13" hidden="1">
      <c r="H519" s="226"/>
    </row>
    <row r="520" spans="8:8" ht="13" hidden="1">
      <c r="H520" s="226"/>
    </row>
    <row r="521" spans="8:8" ht="13" hidden="1">
      <c r="H521" s="226"/>
    </row>
    <row r="522" spans="8:8" ht="13" hidden="1">
      <c r="H522" s="226"/>
    </row>
    <row r="523" spans="8:8" ht="13" hidden="1">
      <c r="H523" s="226"/>
    </row>
    <row r="524" spans="8:8" ht="13" hidden="1">
      <c r="H524" s="226"/>
    </row>
    <row r="525" spans="8:8" ht="13" hidden="1">
      <c r="H525" s="226"/>
    </row>
    <row r="526" spans="8:8" ht="13" hidden="1">
      <c r="H526" s="226"/>
    </row>
    <row r="527" spans="8:8" ht="13" hidden="1">
      <c r="H527" s="226"/>
    </row>
    <row r="528" spans="8:8" ht="13" hidden="1">
      <c r="H528" s="226"/>
    </row>
    <row r="529" spans="8:8" ht="13" hidden="1">
      <c r="H529" s="226"/>
    </row>
    <row r="530" spans="8:8" ht="13" hidden="1">
      <c r="H530" s="226"/>
    </row>
    <row r="531" spans="8:8" ht="13" hidden="1">
      <c r="H531" s="226"/>
    </row>
    <row r="532" spans="8:8" ht="13" hidden="1">
      <c r="H532" s="226"/>
    </row>
    <row r="533" spans="8:8" ht="13" hidden="1">
      <c r="H533" s="226"/>
    </row>
    <row r="534" spans="8:8" ht="13" hidden="1">
      <c r="H534" s="226"/>
    </row>
    <row r="535" spans="8:8" ht="13" hidden="1">
      <c r="H535" s="226"/>
    </row>
    <row r="536" spans="8:8" ht="13" hidden="1">
      <c r="H536" s="226"/>
    </row>
    <row r="537" spans="8:8" ht="13" hidden="1">
      <c r="H537" s="226"/>
    </row>
    <row r="538" spans="8:8" ht="13" hidden="1">
      <c r="H538" s="226"/>
    </row>
    <row r="539" spans="8:8" ht="13" hidden="1">
      <c r="H539" s="226"/>
    </row>
    <row r="540" spans="8:8" ht="13" hidden="1">
      <c r="H540" s="226"/>
    </row>
    <row r="541" spans="8:8" ht="13" hidden="1">
      <c r="H541" s="226"/>
    </row>
    <row r="542" spans="8:8" ht="13" hidden="1">
      <c r="H542" s="226"/>
    </row>
    <row r="543" spans="8:8" ht="13" hidden="1">
      <c r="H543" s="226"/>
    </row>
    <row r="544" spans="8:8" ht="13" hidden="1">
      <c r="H544" s="226"/>
    </row>
    <row r="545" spans="8:8" ht="13" hidden="1">
      <c r="H545" s="226"/>
    </row>
    <row r="546" spans="8:8" ht="13" hidden="1">
      <c r="H546" s="226"/>
    </row>
    <row r="547" spans="8:8" ht="13" hidden="1">
      <c r="H547" s="226"/>
    </row>
    <row r="548" spans="8:8" ht="13" hidden="1">
      <c r="H548" s="226"/>
    </row>
    <row r="549" spans="8:8" ht="13" hidden="1">
      <c r="H549" s="226"/>
    </row>
    <row r="550" spans="8:8" ht="13" hidden="1">
      <c r="H550" s="226"/>
    </row>
    <row r="551" spans="8:8" ht="13" hidden="1">
      <c r="H551" s="226"/>
    </row>
    <row r="552" spans="8:8" ht="13" hidden="1">
      <c r="H552" s="226"/>
    </row>
    <row r="553" spans="8:8" ht="13" hidden="1">
      <c r="H553" s="226"/>
    </row>
    <row r="554" spans="8:8" ht="13" hidden="1">
      <c r="H554" s="226"/>
    </row>
    <row r="555" spans="8:8" ht="13" hidden="1">
      <c r="H555" s="226"/>
    </row>
    <row r="556" spans="8:8" ht="13" hidden="1">
      <c r="H556" s="226"/>
    </row>
    <row r="557" spans="8:8" ht="13" hidden="1">
      <c r="H557" s="226"/>
    </row>
    <row r="558" spans="8:8" ht="13" hidden="1">
      <c r="H558" s="226"/>
    </row>
    <row r="559" spans="8:8" ht="13" hidden="1">
      <c r="H559" s="226"/>
    </row>
    <row r="560" spans="8:8" ht="13" hidden="1">
      <c r="H560" s="226"/>
    </row>
    <row r="561" spans="8:8" ht="13" hidden="1">
      <c r="H561" s="226"/>
    </row>
    <row r="562" spans="8:8" ht="13" hidden="1">
      <c r="H562" s="226"/>
    </row>
    <row r="563" spans="8:8" ht="13" hidden="1">
      <c r="H563" s="226"/>
    </row>
    <row r="564" spans="8:8" ht="13" hidden="1">
      <c r="H564" s="226"/>
    </row>
    <row r="565" spans="8:8" ht="13" hidden="1">
      <c r="H565" s="226"/>
    </row>
    <row r="566" spans="8:8" ht="13" hidden="1">
      <c r="H566" s="226"/>
    </row>
    <row r="567" spans="8:8" ht="13" hidden="1">
      <c r="H567" s="226"/>
    </row>
    <row r="568" spans="8:8" ht="13" hidden="1">
      <c r="H568" s="226"/>
    </row>
    <row r="569" spans="8:8" ht="13" hidden="1">
      <c r="H569" s="226"/>
    </row>
    <row r="570" spans="8:8" ht="13" hidden="1">
      <c r="H570" s="226"/>
    </row>
    <row r="571" spans="8:8" ht="13" hidden="1">
      <c r="H571" s="226"/>
    </row>
    <row r="572" spans="8:8" ht="13" hidden="1">
      <c r="H572" s="226"/>
    </row>
    <row r="573" spans="8:8" ht="13" hidden="1">
      <c r="H573" s="226"/>
    </row>
    <row r="574" spans="8:8" ht="13" hidden="1">
      <c r="H574" s="226"/>
    </row>
    <row r="575" spans="8:8" ht="13" hidden="1">
      <c r="H575" s="226"/>
    </row>
    <row r="576" spans="8:8" ht="13" hidden="1">
      <c r="H576" s="226"/>
    </row>
    <row r="577" spans="8:8" ht="13" hidden="1">
      <c r="H577" s="226"/>
    </row>
    <row r="578" spans="8:8" ht="13" hidden="1">
      <c r="H578" s="226"/>
    </row>
    <row r="579" spans="8:8" ht="13" hidden="1">
      <c r="H579" s="226"/>
    </row>
    <row r="580" spans="8:8" ht="13" hidden="1">
      <c r="H580" s="226"/>
    </row>
    <row r="581" spans="8:8" ht="13" hidden="1">
      <c r="H581" s="226"/>
    </row>
    <row r="582" spans="8:8" ht="13" hidden="1">
      <c r="H582" s="226"/>
    </row>
    <row r="583" spans="8:8" ht="13" hidden="1">
      <c r="H583" s="226"/>
    </row>
    <row r="584" spans="8:8" ht="13" hidden="1">
      <c r="H584" s="226"/>
    </row>
    <row r="585" spans="8:8" ht="13" hidden="1">
      <c r="H585" s="226"/>
    </row>
    <row r="586" spans="8:8" ht="13" hidden="1">
      <c r="H586" s="226"/>
    </row>
    <row r="587" spans="8:8" ht="13" hidden="1">
      <c r="H587" s="226"/>
    </row>
    <row r="588" spans="8:8" ht="13" hidden="1">
      <c r="H588" s="226"/>
    </row>
    <row r="589" spans="8:8" ht="13" hidden="1">
      <c r="H589" s="226"/>
    </row>
    <row r="590" spans="8:8" ht="13" hidden="1">
      <c r="H590" s="226"/>
    </row>
    <row r="591" spans="8:8" ht="13" hidden="1">
      <c r="H591" s="226"/>
    </row>
    <row r="592" spans="8:8" ht="13" hidden="1">
      <c r="H592" s="226"/>
    </row>
    <row r="593" spans="8:8" ht="13" hidden="1">
      <c r="H593" s="226"/>
    </row>
    <row r="594" spans="8:8" ht="13" hidden="1">
      <c r="H594" s="226"/>
    </row>
    <row r="595" spans="8:8" ht="13" hidden="1">
      <c r="H595" s="226"/>
    </row>
    <row r="596" spans="8:8" ht="13" hidden="1">
      <c r="H596" s="226"/>
    </row>
    <row r="597" spans="8:8" ht="13" hidden="1">
      <c r="H597" s="226"/>
    </row>
    <row r="598" spans="8:8" ht="13" hidden="1">
      <c r="H598" s="226"/>
    </row>
    <row r="599" spans="8:8" ht="13" hidden="1">
      <c r="H599" s="226"/>
    </row>
    <row r="600" spans="8:8" ht="13" hidden="1">
      <c r="H600" s="226"/>
    </row>
    <row r="601" spans="8:8" ht="13" hidden="1">
      <c r="H601" s="226"/>
    </row>
    <row r="602" spans="8:8" ht="13" hidden="1">
      <c r="H602" s="226"/>
    </row>
    <row r="603" spans="8:8" ht="13" hidden="1">
      <c r="H603" s="226"/>
    </row>
    <row r="604" spans="8:8" ht="13" hidden="1">
      <c r="H604" s="226"/>
    </row>
    <row r="605" spans="8:8" ht="13" hidden="1">
      <c r="H605" s="226"/>
    </row>
    <row r="606" spans="8:8" ht="13" hidden="1">
      <c r="H606" s="226"/>
    </row>
    <row r="607" spans="8:8" ht="13" hidden="1">
      <c r="H607" s="226"/>
    </row>
    <row r="608" spans="8:8" ht="13" hidden="1">
      <c r="H608" s="226"/>
    </row>
    <row r="609" spans="8:8" ht="13" hidden="1">
      <c r="H609" s="226"/>
    </row>
    <row r="610" spans="8:8" ht="13" hidden="1">
      <c r="H610" s="226"/>
    </row>
    <row r="611" spans="8:8" ht="13" hidden="1">
      <c r="H611" s="226"/>
    </row>
    <row r="612" spans="8:8" ht="13" hidden="1">
      <c r="H612" s="226"/>
    </row>
    <row r="613" spans="8:8" ht="13" hidden="1">
      <c r="H613" s="226"/>
    </row>
    <row r="614" spans="8:8" ht="13" hidden="1">
      <c r="H614" s="226"/>
    </row>
    <row r="615" spans="8:8" ht="13" hidden="1">
      <c r="H615" s="226"/>
    </row>
    <row r="616" spans="8:8" ht="13" hidden="1">
      <c r="H616" s="226"/>
    </row>
    <row r="617" spans="8:8" ht="13" hidden="1">
      <c r="H617" s="226"/>
    </row>
    <row r="618" spans="8:8" ht="13" hidden="1">
      <c r="H618" s="226"/>
    </row>
    <row r="619" spans="8:8" ht="13" hidden="1">
      <c r="H619" s="226"/>
    </row>
    <row r="620" spans="8:8" ht="13" hidden="1">
      <c r="H620" s="226"/>
    </row>
    <row r="621" spans="8:8" ht="13" hidden="1">
      <c r="H621" s="226"/>
    </row>
    <row r="622" spans="8:8" ht="13" hidden="1">
      <c r="H622" s="226"/>
    </row>
    <row r="623" spans="8:8" ht="13" hidden="1">
      <c r="H623" s="226"/>
    </row>
    <row r="624" spans="8:8" ht="13" hidden="1">
      <c r="H624" s="226"/>
    </row>
    <row r="625" spans="8:8" ht="13" hidden="1">
      <c r="H625" s="226"/>
    </row>
    <row r="626" spans="8:8" ht="13" hidden="1">
      <c r="H626" s="226"/>
    </row>
    <row r="627" spans="8:8" ht="13" hidden="1">
      <c r="H627" s="226"/>
    </row>
    <row r="628" spans="8:8" ht="13" hidden="1">
      <c r="H628" s="226"/>
    </row>
    <row r="629" spans="8:8" ht="13" hidden="1">
      <c r="H629" s="226"/>
    </row>
    <row r="630" spans="8:8" ht="13" hidden="1">
      <c r="H630" s="226"/>
    </row>
    <row r="631" spans="8:8" ht="13" hidden="1">
      <c r="H631" s="226"/>
    </row>
    <row r="632" spans="8:8" ht="13" hidden="1">
      <c r="H632" s="226"/>
    </row>
    <row r="633" spans="8:8" ht="13" hidden="1">
      <c r="H633" s="226"/>
    </row>
    <row r="634" spans="8:8" ht="13" hidden="1">
      <c r="H634" s="226"/>
    </row>
    <row r="635" spans="8:8" ht="13" hidden="1">
      <c r="H635" s="226"/>
    </row>
    <row r="636" spans="8:8" ht="13" hidden="1">
      <c r="H636" s="226"/>
    </row>
    <row r="637" spans="8:8" ht="13" hidden="1">
      <c r="H637" s="226"/>
    </row>
    <row r="638" spans="8:8" ht="13" hidden="1">
      <c r="H638" s="226"/>
    </row>
    <row r="639" spans="8:8" ht="13" hidden="1">
      <c r="H639" s="226"/>
    </row>
    <row r="640" spans="8:8" ht="13" hidden="1">
      <c r="H640" s="226"/>
    </row>
    <row r="641" spans="8:8" ht="13" hidden="1">
      <c r="H641" s="226"/>
    </row>
    <row r="642" spans="8:8" ht="13" hidden="1">
      <c r="H642" s="226"/>
    </row>
    <row r="643" spans="8:8" ht="13" hidden="1">
      <c r="H643" s="226"/>
    </row>
    <row r="644" spans="8:8" ht="13" hidden="1">
      <c r="H644" s="226"/>
    </row>
    <row r="645" spans="8:8" ht="13" hidden="1">
      <c r="H645" s="226"/>
    </row>
    <row r="646" spans="8:8" ht="13" hidden="1">
      <c r="H646" s="226"/>
    </row>
    <row r="647" spans="8:8" ht="13" hidden="1">
      <c r="H647" s="226"/>
    </row>
    <row r="648" spans="8:8" ht="13" hidden="1">
      <c r="H648" s="226"/>
    </row>
    <row r="649" spans="8:8" ht="13" hidden="1">
      <c r="H649" s="226"/>
    </row>
    <row r="650" spans="8:8" ht="13" hidden="1">
      <c r="H650" s="226"/>
    </row>
    <row r="651" spans="8:8" ht="13" hidden="1">
      <c r="H651" s="226"/>
    </row>
    <row r="652" spans="8:8" ht="13" hidden="1">
      <c r="H652" s="226"/>
    </row>
    <row r="653" spans="8:8" ht="13" hidden="1">
      <c r="H653" s="226"/>
    </row>
    <row r="654" spans="8:8" ht="13" hidden="1">
      <c r="H654" s="226"/>
    </row>
    <row r="655" spans="8:8" ht="13" hidden="1">
      <c r="H655" s="226"/>
    </row>
    <row r="656" spans="8:8" ht="13" hidden="1">
      <c r="H656" s="226"/>
    </row>
    <row r="657" spans="8:8" ht="13" hidden="1">
      <c r="H657" s="226"/>
    </row>
    <row r="658" spans="8:8" ht="13" hidden="1">
      <c r="H658" s="226"/>
    </row>
    <row r="659" spans="8:8" ht="13" hidden="1">
      <c r="H659" s="226"/>
    </row>
    <row r="660" spans="8:8" ht="13" hidden="1">
      <c r="H660" s="226"/>
    </row>
    <row r="661" spans="8:8" ht="13" hidden="1">
      <c r="H661" s="226"/>
    </row>
    <row r="662" spans="8:8" ht="13" hidden="1">
      <c r="H662" s="226"/>
    </row>
    <row r="663" spans="8:8" ht="13" hidden="1">
      <c r="H663" s="226"/>
    </row>
    <row r="664" spans="8:8" ht="13" hidden="1">
      <c r="H664" s="226"/>
    </row>
    <row r="665" spans="8:8" ht="13" hidden="1">
      <c r="H665" s="226"/>
    </row>
    <row r="666" spans="8:8" ht="13" hidden="1">
      <c r="H666" s="226"/>
    </row>
    <row r="667" spans="8:8" ht="13" hidden="1">
      <c r="H667" s="226"/>
    </row>
    <row r="668" spans="8:8" ht="13" hidden="1">
      <c r="H668" s="226"/>
    </row>
    <row r="669" spans="8:8" ht="13" hidden="1">
      <c r="H669" s="226"/>
    </row>
    <row r="670" spans="8:8" ht="13" hidden="1">
      <c r="H670" s="226"/>
    </row>
    <row r="671" spans="8:8" ht="13" hidden="1">
      <c r="H671" s="226"/>
    </row>
    <row r="672" spans="8:8" ht="13" hidden="1">
      <c r="H672" s="226"/>
    </row>
    <row r="673" spans="8:8" ht="13" hidden="1">
      <c r="H673" s="226"/>
    </row>
    <row r="674" spans="8:8" ht="13" hidden="1">
      <c r="H674" s="226"/>
    </row>
    <row r="675" spans="8:8" ht="13" hidden="1">
      <c r="H675" s="226"/>
    </row>
    <row r="676" spans="8:8" ht="13" hidden="1">
      <c r="H676" s="226"/>
    </row>
    <row r="677" spans="8:8" ht="13" hidden="1">
      <c r="H677" s="226"/>
    </row>
    <row r="678" spans="8:8" ht="13" hidden="1">
      <c r="H678" s="226"/>
    </row>
    <row r="679" spans="8:8" ht="13" hidden="1">
      <c r="H679" s="226"/>
    </row>
    <row r="680" spans="8:8" ht="13" hidden="1">
      <c r="H680" s="226"/>
    </row>
    <row r="681" spans="8:8" ht="13" hidden="1">
      <c r="H681" s="226"/>
    </row>
    <row r="682" spans="8:8" ht="13" hidden="1">
      <c r="H682" s="226"/>
    </row>
    <row r="683" spans="8:8" ht="13" hidden="1">
      <c r="H683" s="226"/>
    </row>
    <row r="684" spans="8:8" ht="13" hidden="1">
      <c r="H684" s="226"/>
    </row>
    <row r="685" spans="8:8" ht="13" hidden="1">
      <c r="H685" s="226"/>
    </row>
    <row r="686" spans="8:8" ht="13" hidden="1">
      <c r="H686" s="226"/>
    </row>
    <row r="687" spans="8:8" ht="13" hidden="1">
      <c r="H687" s="226"/>
    </row>
    <row r="688" spans="8:8" ht="13" hidden="1">
      <c r="H688" s="226"/>
    </row>
    <row r="689" spans="8:8" ht="13" hidden="1">
      <c r="H689" s="226"/>
    </row>
    <row r="690" spans="8:8" ht="13" hidden="1">
      <c r="H690" s="226"/>
    </row>
    <row r="691" spans="8:8" ht="13" hidden="1">
      <c r="H691" s="226"/>
    </row>
    <row r="692" spans="8:8" ht="13" hidden="1">
      <c r="H692" s="226"/>
    </row>
    <row r="693" spans="8:8" ht="13" hidden="1">
      <c r="H693" s="226"/>
    </row>
    <row r="694" spans="8:8" ht="13" hidden="1">
      <c r="H694" s="226"/>
    </row>
    <row r="695" spans="8:8" ht="13" hidden="1">
      <c r="H695" s="226"/>
    </row>
    <row r="696" spans="8:8" ht="13" hidden="1">
      <c r="H696" s="226"/>
    </row>
    <row r="697" spans="8:8" ht="13" hidden="1">
      <c r="H697" s="226"/>
    </row>
    <row r="698" spans="8:8" ht="13" hidden="1">
      <c r="H698" s="226"/>
    </row>
    <row r="699" spans="8:8" ht="13" hidden="1">
      <c r="H699" s="226"/>
    </row>
    <row r="700" spans="8:8" ht="13" hidden="1">
      <c r="H700" s="226"/>
    </row>
    <row r="701" spans="8:8" ht="13" hidden="1">
      <c r="H701" s="226"/>
    </row>
    <row r="702" spans="8:8" ht="13" hidden="1">
      <c r="H702" s="226"/>
    </row>
    <row r="703" spans="8:8" ht="13" hidden="1">
      <c r="H703" s="226"/>
    </row>
    <row r="704" spans="8:8" ht="13" hidden="1">
      <c r="H704" s="226"/>
    </row>
    <row r="705" spans="8:8" ht="13" hidden="1">
      <c r="H705" s="226"/>
    </row>
    <row r="706" spans="8:8" ht="13" hidden="1">
      <c r="H706" s="226"/>
    </row>
    <row r="707" spans="8:8" ht="13" hidden="1">
      <c r="H707" s="226"/>
    </row>
    <row r="708" spans="8:8" ht="13" hidden="1">
      <c r="H708" s="226"/>
    </row>
    <row r="709" spans="8:8" ht="13" hidden="1">
      <c r="H709" s="226"/>
    </row>
    <row r="710" spans="8:8" ht="13" hidden="1">
      <c r="H710" s="226"/>
    </row>
    <row r="711" spans="8:8" ht="13" hidden="1">
      <c r="H711" s="226"/>
    </row>
    <row r="712" spans="8:8" ht="13" hidden="1">
      <c r="H712" s="226"/>
    </row>
    <row r="713" spans="8:8" ht="13" hidden="1">
      <c r="H713" s="226"/>
    </row>
    <row r="714" spans="8:8" ht="13" hidden="1">
      <c r="H714" s="226"/>
    </row>
    <row r="715" spans="8:8" ht="13" hidden="1">
      <c r="H715" s="226"/>
    </row>
    <row r="716" spans="8:8" ht="13" hidden="1">
      <c r="H716" s="226"/>
    </row>
    <row r="717" spans="8:8" ht="13" hidden="1">
      <c r="H717" s="226"/>
    </row>
    <row r="718" spans="8:8" ht="13" hidden="1">
      <c r="H718" s="226"/>
    </row>
    <row r="719" spans="8:8" ht="13" hidden="1">
      <c r="H719" s="226"/>
    </row>
    <row r="720" spans="8:8" ht="13" hidden="1">
      <c r="H720" s="226"/>
    </row>
    <row r="721" spans="8:8" ht="13" hidden="1">
      <c r="H721" s="226"/>
    </row>
    <row r="722" spans="8:8" ht="13" hidden="1">
      <c r="H722" s="226"/>
    </row>
    <row r="723" spans="8:8" ht="13" hidden="1">
      <c r="H723" s="226"/>
    </row>
    <row r="724" spans="8:8" ht="13" hidden="1">
      <c r="H724" s="226"/>
    </row>
    <row r="725" spans="8:8" ht="13" hidden="1">
      <c r="H725" s="226"/>
    </row>
    <row r="726" spans="8:8" ht="13" hidden="1">
      <c r="H726" s="226"/>
    </row>
    <row r="727" spans="8:8" ht="13" hidden="1">
      <c r="H727" s="226"/>
    </row>
    <row r="728" spans="8:8" ht="13" hidden="1">
      <c r="H728" s="226"/>
    </row>
    <row r="729" spans="8:8" ht="13" hidden="1">
      <c r="H729" s="226"/>
    </row>
    <row r="730" spans="8:8" ht="13" hidden="1">
      <c r="H730" s="226"/>
    </row>
    <row r="731" spans="8:8" ht="13" hidden="1">
      <c r="H731" s="226"/>
    </row>
    <row r="732" spans="8:8" ht="13" hidden="1">
      <c r="H732" s="226"/>
    </row>
    <row r="733" spans="8:8" ht="13" hidden="1">
      <c r="H733" s="226"/>
    </row>
    <row r="734" spans="8:8" ht="13" hidden="1">
      <c r="H734" s="226"/>
    </row>
    <row r="735" spans="8:8" ht="13" hidden="1">
      <c r="H735" s="226"/>
    </row>
    <row r="736" spans="8:8" ht="13" hidden="1">
      <c r="H736" s="226"/>
    </row>
    <row r="737" spans="8:8" ht="13" hidden="1">
      <c r="H737" s="226"/>
    </row>
    <row r="738" spans="8:8" ht="13" hidden="1">
      <c r="H738" s="226"/>
    </row>
    <row r="739" spans="8:8" ht="13" hidden="1">
      <c r="H739" s="226"/>
    </row>
    <row r="740" spans="8:8" ht="13" hidden="1">
      <c r="H740" s="226"/>
    </row>
    <row r="741" spans="8:8" ht="13" hidden="1">
      <c r="H741" s="226"/>
    </row>
    <row r="742" spans="8:8" ht="13" hidden="1">
      <c r="H742" s="226"/>
    </row>
    <row r="743" spans="8:8" ht="13" hidden="1">
      <c r="H743" s="226"/>
    </row>
    <row r="744" spans="8:8" ht="13" hidden="1">
      <c r="H744" s="226"/>
    </row>
    <row r="745" spans="8:8" ht="13" hidden="1">
      <c r="H745" s="226"/>
    </row>
    <row r="746" spans="8:8" ht="13" hidden="1">
      <c r="H746" s="226"/>
    </row>
    <row r="747" spans="8:8" ht="13" hidden="1">
      <c r="H747" s="226"/>
    </row>
    <row r="748" spans="8:8" ht="13" hidden="1">
      <c r="H748" s="226"/>
    </row>
    <row r="749" spans="8:8" ht="13" hidden="1">
      <c r="H749" s="226"/>
    </row>
    <row r="750" spans="8:8" ht="13" hidden="1">
      <c r="H750" s="226"/>
    </row>
    <row r="751" spans="8:8" ht="13" hidden="1">
      <c r="H751" s="226"/>
    </row>
    <row r="752" spans="8:8" ht="13" hidden="1">
      <c r="H752" s="226"/>
    </row>
    <row r="753" spans="8:8" ht="13" hidden="1">
      <c r="H753" s="226"/>
    </row>
    <row r="754" spans="8:8" ht="13" hidden="1">
      <c r="H754" s="226"/>
    </row>
    <row r="755" spans="8:8" ht="13" hidden="1">
      <c r="H755" s="226"/>
    </row>
    <row r="756" spans="8:8" ht="13" hidden="1">
      <c r="H756" s="226"/>
    </row>
    <row r="757" spans="8:8" ht="13" hidden="1">
      <c r="H757" s="226"/>
    </row>
    <row r="758" spans="8:8" ht="13" hidden="1">
      <c r="H758" s="226"/>
    </row>
    <row r="759" spans="8:8" ht="13" hidden="1">
      <c r="H759" s="226"/>
    </row>
    <row r="760" spans="8:8" ht="13" hidden="1">
      <c r="H760" s="226"/>
    </row>
    <row r="761" spans="8:8" ht="13" hidden="1">
      <c r="H761" s="226"/>
    </row>
    <row r="762" spans="8:8" ht="13" hidden="1">
      <c r="H762" s="226"/>
    </row>
    <row r="763" spans="8:8" ht="13" hidden="1">
      <c r="H763" s="226"/>
    </row>
    <row r="764" spans="8:8" ht="13" hidden="1">
      <c r="H764" s="226"/>
    </row>
    <row r="765" spans="8:8" ht="13" hidden="1">
      <c r="H765" s="226"/>
    </row>
    <row r="766" spans="8:8" ht="13" hidden="1">
      <c r="H766" s="226"/>
    </row>
    <row r="767" spans="8:8" ht="13" hidden="1">
      <c r="H767" s="226"/>
    </row>
    <row r="768" spans="8:8" ht="13" hidden="1">
      <c r="H768" s="226"/>
    </row>
    <row r="769" spans="8:8" ht="13" hidden="1">
      <c r="H769" s="226"/>
    </row>
    <row r="770" spans="8:8" ht="13" hidden="1">
      <c r="H770" s="226"/>
    </row>
    <row r="771" spans="8:8" ht="13" hidden="1">
      <c r="H771" s="226"/>
    </row>
    <row r="772" spans="8:8" ht="13" hidden="1">
      <c r="H772" s="226"/>
    </row>
    <row r="773" spans="8:8" ht="13" hidden="1">
      <c r="H773" s="226"/>
    </row>
    <row r="774" spans="8:8" ht="13" hidden="1">
      <c r="H774" s="226"/>
    </row>
    <row r="775" spans="8:8" ht="13" hidden="1">
      <c r="H775" s="226"/>
    </row>
    <row r="776" spans="8:8" ht="13" hidden="1">
      <c r="H776" s="226"/>
    </row>
    <row r="777" spans="8:8" ht="13" hidden="1">
      <c r="H777" s="226"/>
    </row>
    <row r="778" spans="8:8" ht="13" hidden="1">
      <c r="H778" s="226"/>
    </row>
    <row r="779" spans="8:8" ht="13" hidden="1">
      <c r="H779" s="226"/>
    </row>
    <row r="780" spans="8:8" ht="13" hidden="1">
      <c r="H780" s="226"/>
    </row>
    <row r="781" spans="8:8" ht="13" hidden="1">
      <c r="H781" s="226"/>
    </row>
    <row r="782" spans="8:8" ht="13" hidden="1">
      <c r="H782" s="226"/>
    </row>
    <row r="783" spans="8:8" ht="13" hidden="1">
      <c r="H783" s="226"/>
    </row>
    <row r="784" spans="8:8" ht="13" hidden="1">
      <c r="H784" s="226"/>
    </row>
    <row r="785" spans="8:8" ht="13" hidden="1">
      <c r="H785" s="226"/>
    </row>
    <row r="786" spans="8:8" ht="13" hidden="1">
      <c r="H786" s="226"/>
    </row>
    <row r="787" spans="8:8" ht="13" hidden="1">
      <c r="H787" s="226"/>
    </row>
    <row r="788" spans="8:8" ht="13" hidden="1">
      <c r="H788" s="226"/>
    </row>
    <row r="789" spans="8:8" ht="13" hidden="1">
      <c r="H789" s="226"/>
    </row>
    <row r="790" spans="8:8" ht="13" hidden="1">
      <c r="H790" s="226"/>
    </row>
    <row r="791" spans="8:8" ht="13" hidden="1">
      <c r="H791" s="226"/>
    </row>
    <row r="792" spans="8:8" ht="13" hidden="1">
      <c r="H792" s="226"/>
    </row>
    <row r="793" spans="8:8" ht="13" hidden="1">
      <c r="H793" s="226"/>
    </row>
    <row r="794" spans="8:8" ht="13" hidden="1">
      <c r="H794" s="226"/>
    </row>
    <row r="795" spans="8:8" ht="13" hidden="1">
      <c r="H795" s="226"/>
    </row>
    <row r="796" spans="8:8" ht="13" hidden="1">
      <c r="H796" s="226"/>
    </row>
    <row r="797" spans="8:8" ht="13" hidden="1">
      <c r="H797" s="226"/>
    </row>
    <row r="798" spans="8:8" ht="13" hidden="1">
      <c r="H798" s="226"/>
    </row>
    <row r="799" spans="8:8" ht="13" hidden="1">
      <c r="H799" s="226"/>
    </row>
    <row r="800" spans="8:8" ht="13" hidden="1">
      <c r="H800" s="226"/>
    </row>
    <row r="801" spans="8:8" ht="13" hidden="1">
      <c r="H801" s="226"/>
    </row>
    <row r="802" spans="8:8" ht="13" hidden="1">
      <c r="H802" s="226"/>
    </row>
    <row r="803" spans="8:8" ht="13" hidden="1">
      <c r="H803" s="226"/>
    </row>
    <row r="804" spans="8:8" ht="13" hidden="1">
      <c r="H804" s="226"/>
    </row>
    <row r="805" spans="8:8" ht="13" hidden="1">
      <c r="H805" s="226"/>
    </row>
    <row r="806" spans="8:8" ht="13" hidden="1">
      <c r="H806" s="226"/>
    </row>
    <row r="807" spans="8:8" ht="13" hidden="1">
      <c r="H807" s="226"/>
    </row>
    <row r="808" spans="8:8" ht="13" hidden="1">
      <c r="H808" s="226"/>
    </row>
    <row r="809" spans="8:8" ht="13" hidden="1">
      <c r="H809" s="226"/>
    </row>
    <row r="810" spans="8:8" ht="13" hidden="1">
      <c r="H810" s="226"/>
    </row>
    <row r="811" spans="8:8" ht="13" hidden="1">
      <c r="H811" s="226"/>
    </row>
    <row r="812" spans="8:8" ht="13" hidden="1">
      <c r="H812" s="226"/>
    </row>
    <row r="813" spans="8:8" ht="13" hidden="1">
      <c r="H813" s="226"/>
    </row>
    <row r="814" spans="8:8" ht="13" hidden="1">
      <c r="H814" s="226"/>
    </row>
    <row r="815" spans="8:8" ht="13" hidden="1">
      <c r="H815" s="226"/>
    </row>
    <row r="816" spans="8:8" ht="13" hidden="1">
      <c r="H816" s="226"/>
    </row>
    <row r="817" spans="8:8" ht="13" hidden="1">
      <c r="H817" s="226"/>
    </row>
    <row r="818" spans="8:8" ht="13" hidden="1">
      <c r="H818" s="226"/>
    </row>
    <row r="819" spans="8:8" ht="13" hidden="1">
      <c r="H819" s="226"/>
    </row>
    <row r="820" spans="8:8" ht="13" hidden="1">
      <c r="H820" s="226"/>
    </row>
    <row r="821" spans="8:8" ht="13" hidden="1">
      <c r="H821" s="226"/>
    </row>
    <row r="822" spans="8:8" ht="13" hidden="1">
      <c r="H822" s="226"/>
    </row>
    <row r="823" spans="8:8" ht="13" hidden="1">
      <c r="H823" s="226"/>
    </row>
    <row r="824" spans="8:8" ht="13" hidden="1">
      <c r="H824" s="226"/>
    </row>
    <row r="825" spans="8:8" ht="13" hidden="1">
      <c r="H825" s="226"/>
    </row>
    <row r="826" spans="8:8" ht="13" hidden="1">
      <c r="H826" s="226"/>
    </row>
    <row r="827" spans="8:8" ht="13" hidden="1">
      <c r="H827" s="226"/>
    </row>
    <row r="828" spans="8:8" ht="13" hidden="1">
      <c r="H828" s="226"/>
    </row>
    <row r="829" spans="8:8" ht="13" hidden="1">
      <c r="H829" s="226"/>
    </row>
    <row r="830" spans="8:8" ht="13" hidden="1">
      <c r="H830" s="226"/>
    </row>
    <row r="831" spans="8:8" ht="13" hidden="1">
      <c r="H831" s="226"/>
    </row>
    <row r="832" spans="8:8" ht="13" hidden="1">
      <c r="H832" s="226"/>
    </row>
    <row r="833" spans="8:8" ht="13" hidden="1">
      <c r="H833" s="226"/>
    </row>
    <row r="834" spans="8:8" ht="13" hidden="1">
      <c r="H834" s="226"/>
    </row>
    <row r="835" spans="8:8" ht="13" hidden="1">
      <c r="H835" s="226"/>
    </row>
    <row r="836" spans="8:8" ht="13" hidden="1">
      <c r="H836" s="226"/>
    </row>
    <row r="837" spans="8:8" ht="13" hidden="1">
      <c r="H837" s="226"/>
    </row>
    <row r="838" spans="8:8" ht="13" hidden="1">
      <c r="H838" s="226"/>
    </row>
    <row r="839" spans="8:8" ht="13" hidden="1">
      <c r="H839" s="226"/>
    </row>
    <row r="840" spans="8:8" ht="13" hidden="1">
      <c r="H840" s="226"/>
    </row>
    <row r="841" spans="8:8" ht="13" hidden="1">
      <c r="H841" s="226"/>
    </row>
    <row r="842" spans="8:8" ht="13" hidden="1">
      <c r="H842" s="226"/>
    </row>
    <row r="843" spans="8:8" ht="13" hidden="1">
      <c r="H843" s="226"/>
    </row>
    <row r="844" spans="8:8" ht="13" hidden="1">
      <c r="H844" s="226"/>
    </row>
    <row r="845" spans="8:8" ht="13" hidden="1">
      <c r="H845" s="226"/>
    </row>
    <row r="846" spans="8:8" ht="13" hidden="1">
      <c r="H846" s="226"/>
    </row>
    <row r="847" spans="8:8" ht="13" hidden="1">
      <c r="H847" s="226"/>
    </row>
    <row r="848" spans="8:8" ht="13" hidden="1">
      <c r="H848" s="226"/>
    </row>
    <row r="849" spans="8:8" ht="13" hidden="1">
      <c r="H849" s="226"/>
    </row>
    <row r="850" spans="8:8" ht="13" hidden="1">
      <c r="H850" s="226"/>
    </row>
    <row r="851" spans="8:8" ht="13" hidden="1">
      <c r="H851" s="226"/>
    </row>
    <row r="852" spans="8:8" ht="13" hidden="1">
      <c r="H852" s="226"/>
    </row>
    <row r="853" spans="8:8" ht="13" hidden="1">
      <c r="H853" s="226"/>
    </row>
    <row r="854" spans="8:8" ht="13" hidden="1">
      <c r="H854" s="226"/>
    </row>
    <row r="855" spans="8:8" ht="13" hidden="1">
      <c r="H855" s="226"/>
    </row>
    <row r="856" spans="8:8" ht="13" hidden="1">
      <c r="H856" s="226"/>
    </row>
    <row r="857" spans="8:8" ht="13" hidden="1">
      <c r="H857" s="226"/>
    </row>
    <row r="858" spans="8:8" ht="13" hidden="1">
      <c r="H858" s="226"/>
    </row>
    <row r="859" spans="8:8" ht="13" hidden="1">
      <c r="H859" s="226"/>
    </row>
    <row r="860" spans="8:8" ht="13" hidden="1">
      <c r="H860" s="226"/>
    </row>
    <row r="861" spans="8:8" ht="13" hidden="1">
      <c r="H861" s="226"/>
    </row>
    <row r="862" spans="8:8" ht="13" hidden="1">
      <c r="H862" s="226"/>
    </row>
    <row r="863" spans="8:8" ht="13" hidden="1">
      <c r="H863" s="226"/>
    </row>
    <row r="864" spans="8:8" ht="13" hidden="1">
      <c r="H864" s="226"/>
    </row>
    <row r="865" spans="8:8" ht="13" hidden="1">
      <c r="H865" s="226"/>
    </row>
    <row r="866" spans="8:8" ht="13" hidden="1">
      <c r="H866" s="226"/>
    </row>
    <row r="867" spans="8:8" ht="13" hidden="1">
      <c r="H867" s="226"/>
    </row>
    <row r="868" spans="8:8" ht="13" hidden="1">
      <c r="H868" s="226"/>
    </row>
    <row r="869" spans="8:8" ht="13" hidden="1">
      <c r="H869" s="226"/>
    </row>
    <row r="870" spans="8:8" ht="13" hidden="1">
      <c r="H870" s="226"/>
    </row>
    <row r="871" spans="8:8" ht="13" hidden="1">
      <c r="H871" s="226"/>
    </row>
    <row r="872" spans="8:8" ht="13" hidden="1">
      <c r="H872" s="226"/>
    </row>
    <row r="873" spans="8:8" ht="13" hidden="1">
      <c r="H873" s="226"/>
    </row>
    <row r="874" spans="8:8" ht="13" hidden="1">
      <c r="H874" s="226"/>
    </row>
    <row r="875" spans="8:8" ht="13" hidden="1">
      <c r="H875" s="226"/>
    </row>
    <row r="876" spans="8:8" ht="13" hidden="1">
      <c r="H876" s="226"/>
    </row>
    <row r="877" spans="8:8" ht="13" hidden="1">
      <c r="H877" s="226"/>
    </row>
    <row r="878" spans="8:8" ht="13" hidden="1">
      <c r="H878" s="226"/>
    </row>
    <row r="879" spans="8:8" ht="13" hidden="1">
      <c r="H879" s="226"/>
    </row>
    <row r="880" spans="8:8" ht="13" hidden="1">
      <c r="H880" s="226"/>
    </row>
    <row r="881" spans="8:8" ht="13" hidden="1">
      <c r="H881" s="226"/>
    </row>
    <row r="882" spans="8:8" ht="13" hidden="1">
      <c r="H882" s="226"/>
    </row>
    <row r="883" spans="8:8" ht="13" hidden="1">
      <c r="H883" s="226"/>
    </row>
    <row r="884" spans="8:8" ht="13" hidden="1">
      <c r="H884" s="226"/>
    </row>
    <row r="885" spans="8:8" ht="13" hidden="1">
      <c r="H885" s="226"/>
    </row>
    <row r="886" spans="8:8" ht="13" hidden="1">
      <c r="H886" s="226"/>
    </row>
    <row r="887" spans="8:8" ht="13" hidden="1">
      <c r="H887" s="226"/>
    </row>
    <row r="888" spans="8:8" ht="13" hidden="1">
      <c r="H888" s="226"/>
    </row>
    <row r="889" spans="8:8" ht="13" hidden="1">
      <c r="H889" s="226"/>
    </row>
    <row r="890" spans="8:8" ht="13" hidden="1">
      <c r="H890" s="226"/>
    </row>
    <row r="891" spans="8:8" ht="13" hidden="1">
      <c r="H891" s="226"/>
    </row>
    <row r="892" spans="8:8" ht="13" hidden="1">
      <c r="H892" s="226"/>
    </row>
    <row r="893" spans="8:8" ht="13" hidden="1">
      <c r="H893" s="226"/>
    </row>
    <row r="894" spans="8:8" ht="13" hidden="1">
      <c r="H894" s="226"/>
    </row>
    <row r="895" spans="8:8" ht="13" hidden="1">
      <c r="H895" s="226"/>
    </row>
    <row r="896" spans="8:8" ht="13" hidden="1">
      <c r="H896" s="226"/>
    </row>
    <row r="897" spans="8:8" ht="13" hidden="1">
      <c r="H897" s="226"/>
    </row>
    <row r="898" spans="8:8" ht="13" hidden="1">
      <c r="H898" s="226"/>
    </row>
    <row r="899" spans="8:8" ht="13" hidden="1">
      <c r="H899" s="226"/>
    </row>
    <row r="900" spans="8:8" ht="13" hidden="1">
      <c r="H900" s="226"/>
    </row>
    <row r="901" spans="8:8" ht="13" hidden="1">
      <c r="H901" s="226"/>
    </row>
    <row r="902" spans="8:8" ht="13" hidden="1">
      <c r="H902" s="226"/>
    </row>
    <row r="903" spans="8:8" ht="13" hidden="1">
      <c r="H903" s="226"/>
    </row>
    <row r="904" spans="8:8" ht="13" hidden="1">
      <c r="H904" s="226"/>
    </row>
    <row r="905" spans="8:8" ht="13" hidden="1">
      <c r="H905" s="226"/>
    </row>
    <row r="906" spans="8:8" ht="13" hidden="1">
      <c r="H906" s="226"/>
    </row>
    <row r="907" spans="8:8" ht="13" hidden="1">
      <c r="H907" s="226"/>
    </row>
    <row r="908" spans="8:8" ht="13" hidden="1">
      <c r="H908" s="226"/>
    </row>
    <row r="909" spans="8:8" ht="13" hidden="1">
      <c r="H909" s="226"/>
    </row>
    <row r="910" spans="8:8" ht="13" hidden="1">
      <c r="H910" s="226"/>
    </row>
    <row r="911" spans="8:8" ht="13" hidden="1">
      <c r="H911" s="226"/>
    </row>
    <row r="912" spans="8:8" ht="13" hidden="1">
      <c r="H912" s="226"/>
    </row>
    <row r="913" spans="8:8" ht="13" hidden="1">
      <c r="H913" s="226"/>
    </row>
    <row r="914" spans="8:8" ht="13" hidden="1">
      <c r="H914" s="226"/>
    </row>
    <row r="915" spans="8:8" ht="13" hidden="1">
      <c r="H915" s="226"/>
    </row>
    <row r="916" spans="8:8" ht="13" hidden="1">
      <c r="H916" s="226"/>
    </row>
    <row r="917" spans="8:8" ht="13" hidden="1">
      <c r="H917" s="226"/>
    </row>
    <row r="918" spans="8:8" ht="13" hidden="1">
      <c r="H918" s="226"/>
    </row>
    <row r="919" spans="8:8" ht="13" hidden="1">
      <c r="H919" s="226"/>
    </row>
    <row r="920" spans="8:8" ht="13" hidden="1">
      <c r="H920" s="226"/>
    </row>
    <row r="921" spans="8:8" ht="13" hidden="1">
      <c r="H921" s="226"/>
    </row>
    <row r="922" spans="8:8" ht="13" hidden="1">
      <c r="H922" s="226"/>
    </row>
    <row r="923" spans="8:8" ht="13" hidden="1">
      <c r="H923" s="226"/>
    </row>
    <row r="924" spans="8:8" ht="13" hidden="1">
      <c r="H924" s="226"/>
    </row>
    <row r="925" spans="8:8" ht="13" hidden="1">
      <c r="H925" s="226"/>
    </row>
    <row r="926" spans="8:8" ht="13" hidden="1">
      <c r="H926" s="226"/>
    </row>
    <row r="927" spans="8:8" ht="13" hidden="1">
      <c r="H927" s="226"/>
    </row>
    <row r="928" spans="8:8" ht="13" hidden="1">
      <c r="H928" s="226"/>
    </row>
    <row r="929" spans="8:8" ht="13" hidden="1">
      <c r="H929" s="226"/>
    </row>
    <row r="930" spans="8:8" ht="13" hidden="1">
      <c r="H930" s="226"/>
    </row>
    <row r="931" spans="8:8" ht="13" hidden="1">
      <c r="H931" s="226"/>
    </row>
    <row r="932" spans="8:8" ht="13" hidden="1">
      <c r="H932" s="226"/>
    </row>
    <row r="933" spans="8:8" ht="13" hidden="1">
      <c r="H933" s="226"/>
    </row>
    <row r="934" spans="8:8" ht="13" hidden="1">
      <c r="H934" s="226"/>
    </row>
    <row r="935" spans="8:8" ht="13" hidden="1">
      <c r="H935" s="226"/>
    </row>
    <row r="936" spans="8:8" ht="13" hidden="1">
      <c r="H936" s="226"/>
    </row>
    <row r="937" spans="8:8" ht="13" hidden="1">
      <c r="H937" s="226"/>
    </row>
    <row r="938" spans="8:8" ht="13" hidden="1">
      <c r="H938" s="226"/>
    </row>
    <row r="939" spans="8:8" ht="13" hidden="1">
      <c r="H939" s="226"/>
    </row>
    <row r="940" spans="8:8" ht="13" hidden="1">
      <c r="H940" s="226"/>
    </row>
    <row r="941" spans="8:8" ht="13" hidden="1">
      <c r="H941" s="226"/>
    </row>
    <row r="942" spans="8:8" ht="13" hidden="1">
      <c r="H942" s="226"/>
    </row>
    <row r="943" spans="8:8" ht="13" hidden="1">
      <c r="H943" s="226"/>
    </row>
    <row r="944" spans="8:8" ht="13" hidden="1">
      <c r="H944" s="226"/>
    </row>
    <row r="945" spans="8:8" ht="13" hidden="1">
      <c r="H945" s="226"/>
    </row>
    <row r="946" spans="8:8" ht="13" hidden="1">
      <c r="H946" s="226"/>
    </row>
    <row r="947" spans="8:8" ht="13" hidden="1">
      <c r="H947" s="226"/>
    </row>
    <row r="948" spans="8:8" ht="13" hidden="1">
      <c r="H948" s="226"/>
    </row>
    <row r="949" spans="8:8" ht="13" hidden="1">
      <c r="H949" s="226"/>
    </row>
    <row r="950" spans="8:8" ht="13" hidden="1">
      <c r="H950" s="226"/>
    </row>
    <row r="951" spans="8:8" ht="13" hidden="1">
      <c r="H951" s="226"/>
    </row>
    <row r="952" spans="8:8" ht="13" hidden="1">
      <c r="H952" s="226"/>
    </row>
    <row r="953" spans="8:8" ht="13" hidden="1">
      <c r="H953" s="226"/>
    </row>
    <row r="954" spans="8:8" ht="13" hidden="1">
      <c r="H954" s="226"/>
    </row>
    <row r="955" spans="8:8" ht="13" hidden="1">
      <c r="H955" s="226"/>
    </row>
    <row r="956" spans="8:8" ht="13" hidden="1">
      <c r="H956" s="226"/>
    </row>
    <row r="957" spans="8:8" ht="13" hidden="1">
      <c r="H957" s="226"/>
    </row>
    <row r="958" spans="8:8" ht="13" hidden="1">
      <c r="H958" s="226"/>
    </row>
    <row r="959" spans="8:8" ht="13" hidden="1">
      <c r="H959" s="226"/>
    </row>
    <row r="960" spans="8:8" ht="13" hidden="1">
      <c r="H960" s="226"/>
    </row>
    <row r="961" spans="8:8" ht="13" hidden="1">
      <c r="H961" s="226"/>
    </row>
    <row r="962" spans="8:8" ht="13" hidden="1">
      <c r="H962" s="226"/>
    </row>
    <row r="963" spans="8:8" ht="13" hidden="1">
      <c r="H963" s="226"/>
    </row>
    <row r="964" spans="8:8" ht="13" hidden="1">
      <c r="H964" s="226"/>
    </row>
    <row r="965" spans="8:8" ht="13" hidden="1">
      <c r="H965" s="226"/>
    </row>
    <row r="966" spans="8:8" ht="13" hidden="1">
      <c r="H966" s="226"/>
    </row>
    <row r="967" spans="8:8" ht="13" hidden="1">
      <c r="H967" s="226"/>
    </row>
    <row r="968" spans="8:8" ht="13" hidden="1">
      <c r="H968" s="226"/>
    </row>
    <row r="969" spans="8:8" ht="13" hidden="1">
      <c r="H969" s="226"/>
    </row>
    <row r="970" spans="8:8" ht="13" hidden="1">
      <c r="H970" s="226"/>
    </row>
    <row r="971" spans="8:8" ht="13" hidden="1">
      <c r="H971" s="226"/>
    </row>
    <row r="972" spans="8:8" ht="13" hidden="1">
      <c r="H972" s="226"/>
    </row>
    <row r="973" spans="8:8" ht="13" hidden="1">
      <c r="H973" s="226"/>
    </row>
    <row r="974" spans="8:8" ht="13" hidden="1">
      <c r="H974" s="226"/>
    </row>
    <row r="975" spans="8:8" ht="13" hidden="1">
      <c r="H975" s="226"/>
    </row>
    <row r="976" spans="8:8" ht="13" hidden="1">
      <c r="H976" s="226"/>
    </row>
    <row r="977" spans="8:8" ht="13" hidden="1">
      <c r="H977" s="226"/>
    </row>
    <row r="978" spans="8:8" ht="13" hidden="1">
      <c r="H978" s="226"/>
    </row>
    <row r="979" spans="8:8" ht="13" hidden="1">
      <c r="H979" s="226"/>
    </row>
    <row r="980" spans="8:8" ht="13" hidden="1">
      <c r="H980" s="226"/>
    </row>
    <row r="981" spans="8:8" ht="13" hidden="1">
      <c r="H981" s="226"/>
    </row>
    <row r="982" spans="8:8" ht="13" hidden="1">
      <c r="H982" s="226"/>
    </row>
    <row r="983" spans="8:8" ht="13" hidden="1">
      <c r="H983" s="226"/>
    </row>
    <row r="984" spans="8:8" ht="13" hidden="1">
      <c r="H984" s="226"/>
    </row>
    <row r="985" spans="8:8" ht="13" hidden="1">
      <c r="H985" s="226"/>
    </row>
    <row r="986" spans="8:8" ht="13" hidden="1">
      <c r="H986" s="226"/>
    </row>
    <row r="987" spans="8:8" ht="13" hidden="1">
      <c r="H987" s="226"/>
    </row>
    <row r="988" spans="8:8" ht="13" hidden="1">
      <c r="H988" s="226"/>
    </row>
    <row r="989" spans="8:8" ht="13" hidden="1">
      <c r="H989" s="226"/>
    </row>
    <row r="990" spans="8:8" ht="13" hidden="1">
      <c r="H990" s="226"/>
    </row>
    <row r="991" spans="8:8" ht="13" hidden="1">
      <c r="H991" s="226"/>
    </row>
    <row r="992" spans="8:8" ht="13" hidden="1">
      <c r="H992" s="226"/>
    </row>
    <row r="993" spans="8:8" ht="13" hidden="1">
      <c r="H993" s="226"/>
    </row>
    <row r="994" spans="8:8" ht="13" hidden="1">
      <c r="H994" s="226"/>
    </row>
    <row r="995" spans="8:8" ht="13" hidden="1">
      <c r="H995" s="226"/>
    </row>
    <row r="996" spans="8:8" ht="13" hidden="1">
      <c r="H996" s="226"/>
    </row>
    <row r="997" spans="8:8" ht="13" hidden="1">
      <c r="H997" s="226"/>
    </row>
    <row r="998" spans="8:8" ht="13" hidden="1">
      <c r="H998" s="226"/>
    </row>
    <row r="999" spans="8:8" ht="13" hidden="1">
      <c r="H999" s="226"/>
    </row>
    <row r="1000" spans="8:8" ht="13" hidden="1">
      <c r="H1000" s="226"/>
    </row>
    <row r="1001" spans="8:8" ht="13" hidden="1">
      <c r="H1001" s="226"/>
    </row>
    <row r="1002" spans="8:8" ht="13" hidden="1">
      <c r="H1002" s="226"/>
    </row>
    <row r="1003" spans="8:8" ht="13" hidden="1">
      <c r="H1003" s="226"/>
    </row>
    <row r="1004" spans="8:8" ht="13" hidden="1">
      <c r="H1004" s="226"/>
    </row>
    <row r="1005" spans="8:8" ht="13" hidden="1">
      <c r="H1005" s="226"/>
    </row>
    <row r="1006" spans="8:8" ht="13" hidden="1">
      <c r="H1006" s="226"/>
    </row>
    <row r="1007" spans="8:8" ht="13" hidden="1">
      <c r="H1007" s="226"/>
    </row>
    <row r="1008" spans="8:8" ht="13" hidden="1">
      <c r="H1008" s="226"/>
    </row>
    <row r="1009" spans="8:8" ht="13" hidden="1">
      <c r="H1009" s="226"/>
    </row>
    <row r="1010" spans="8:8" ht="13" hidden="1">
      <c r="H1010" s="226"/>
    </row>
    <row r="1011" spans="8:8" ht="13" hidden="1">
      <c r="H1011" s="226"/>
    </row>
    <row r="1012" spans="8:8" ht="13" hidden="1">
      <c r="H1012" s="226"/>
    </row>
    <row r="1013" spans="8:8" ht="13" hidden="1">
      <c r="H1013" s="226"/>
    </row>
    <row r="1014" spans="8:8" ht="13" hidden="1">
      <c r="H1014" s="226"/>
    </row>
    <row r="1015" spans="8:8" ht="13" hidden="1">
      <c r="H1015" s="226"/>
    </row>
    <row r="1016" spans="8:8" ht="13" hidden="1">
      <c r="H1016" s="226"/>
    </row>
    <row r="1017" spans="8:8" ht="13" hidden="1">
      <c r="H1017" s="226"/>
    </row>
    <row r="1018" spans="8:8" ht="13" hidden="1">
      <c r="H1018" s="226"/>
    </row>
    <row r="1019" spans="8:8" ht="13" hidden="1">
      <c r="H1019" s="226"/>
    </row>
    <row r="1020" spans="8:8" ht="13" hidden="1">
      <c r="H1020" s="226"/>
    </row>
    <row r="1021" spans="8:8" ht="13" hidden="1">
      <c r="H1021" s="226"/>
    </row>
    <row r="1022" spans="8:8" ht="13" hidden="1">
      <c r="H1022" s="226"/>
    </row>
    <row r="1023" spans="8:8" ht="13" hidden="1">
      <c r="H1023" s="226"/>
    </row>
    <row r="1024" spans="8:8" ht="13" hidden="1">
      <c r="H1024" s="226"/>
    </row>
    <row r="1025" spans="8:8" ht="13" hidden="1">
      <c r="H1025" s="226"/>
    </row>
    <row r="1026" spans="8:8" ht="13" hidden="1">
      <c r="H1026" s="226"/>
    </row>
    <row r="1027" spans="8:8" ht="13" hidden="1">
      <c r="H1027" s="226"/>
    </row>
    <row r="1028" spans="8:8" ht="13" hidden="1">
      <c r="H1028" s="226"/>
    </row>
    <row r="1029" spans="8:8" ht="13" hidden="1">
      <c r="H1029" s="226"/>
    </row>
    <row r="1030" spans="8:8" ht="13" hidden="1">
      <c r="H1030" s="226"/>
    </row>
    <row r="1031" spans="8:8" ht="13" hidden="1">
      <c r="H1031" s="226"/>
    </row>
    <row r="1032" spans="8:8" ht="13" hidden="1">
      <c r="H1032" s="226"/>
    </row>
    <row r="1033" spans="8:8" ht="13" hidden="1">
      <c r="H1033" s="226"/>
    </row>
    <row r="1034" spans="8:8" ht="13" hidden="1">
      <c r="H1034" s="226"/>
    </row>
    <row r="1035" spans="8:8" ht="13" hidden="1">
      <c r="H1035" s="226"/>
    </row>
    <row r="1036" spans="8:8" ht="13" hidden="1">
      <c r="H1036" s="226"/>
    </row>
    <row r="1037" spans="8:8" ht="13" hidden="1">
      <c r="H1037" s="226"/>
    </row>
    <row r="1038" spans="8:8" ht="13" hidden="1">
      <c r="H1038" s="226"/>
    </row>
    <row r="1039" spans="8:8" ht="13" hidden="1">
      <c r="H1039" s="226"/>
    </row>
    <row r="1040" spans="8:8" ht="13" hidden="1">
      <c r="H1040" s="226"/>
    </row>
    <row r="1041" spans="8:8" ht="13" hidden="1">
      <c r="H1041" s="226"/>
    </row>
    <row r="1042" spans="8:8" ht="13" hidden="1">
      <c r="H1042" s="226"/>
    </row>
    <row r="1043" spans="8:8" ht="13" hidden="1">
      <c r="H1043" s="226"/>
    </row>
    <row r="1044" spans="8:8" ht="13" hidden="1">
      <c r="H1044" s="226"/>
    </row>
    <row r="1045" spans="8:8" ht="13" hidden="1">
      <c r="H1045" s="226"/>
    </row>
    <row r="1046" spans="8:8" ht="13" hidden="1">
      <c r="H1046" s="226"/>
    </row>
    <row r="1047" spans="8:8" ht="13" hidden="1">
      <c r="H1047" s="226"/>
    </row>
    <row r="1048" spans="8:8" ht="13" hidden="1">
      <c r="H1048" s="226"/>
    </row>
    <row r="1049" spans="8:8" ht="13" hidden="1">
      <c r="H1049" s="226"/>
    </row>
    <row r="1050" spans="8:8" ht="13" hidden="1">
      <c r="H1050" s="226"/>
    </row>
    <row r="1051" spans="8:8" ht="13" hidden="1">
      <c r="H1051" s="226"/>
    </row>
    <row r="1052" spans="8:8" ht="13" hidden="1">
      <c r="H1052" s="226"/>
    </row>
    <row r="1053" spans="8:8" ht="13" hidden="1">
      <c r="H1053" s="226"/>
    </row>
    <row r="1054" spans="8:8" ht="13" hidden="1">
      <c r="H1054" s="226"/>
    </row>
    <row r="1055" spans="8:8" ht="13" hidden="1">
      <c r="H1055" s="226"/>
    </row>
    <row r="1056" spans="8:8" ht="13" hidden="1">
      <c r="H1056" s="226"/>
    </row>
    <row r="1057" spans="1:22" ht="13" hidden="1">
      <c r="H1057" s="226"/>
    </row>
    <row r="1058" spans="1:22" ht="13" hidden="1">
      <c r="H1058" s="226"/>
    </row>
    <row r="1059" spans="1:22" ht="13" hidden="1">
      <c r="H1059" s="226"/>
    </row>
    <row r="1060" spans="1:22" ht="13" hidden="1">
      <c r="H1060" s="226"/>
    </row>
    <row r="1061" spans="1:22" ht="13" hidden="1">
      <c r="H1061" s="226"/>
    </row>
    <row r="1062" spans="1:22" ht="13" hidden="1">
      <c r="H1062" s="226"/>
    </row>
    <row r="1063" spans="1:22" ht="13" hidden="1">
      <c r="H1063" s="226"/>
    </row>
    <row r="1064" spans="1:22" ht="13">
      <c r="A1064" s="126" t="str">
        <f>HYPERLINK("https://phillipreeve.net/blog/rolling-review-zeiss-loxia-distagon-2-821mm-t/https://phillipreeve.net/blog/rolling-review-zeiss-loxia-distagon-2-821mm-t/","Zeiss Loxia 2.8/21 Distagon T*")</f>
        <v>Zeiss Loxia 2.8/21 Distagon T*</v>
      </c>
      <c r="B1064" s="60">
        <v>394</v>
      </c>
      <c r="C1064" s="62">
        <v>21</v>
      </c>
      <c r="D1064" s="64">
        <v>2.8</v>
      </c>
      <c r="E1064" s="194">
        <v>62</v>
      </c>
      <c r="F1064" s="195">
        <v>72</v>
      </c>
      <c r="G1064" s="70" t="s">
        <v>25</v>
      </c>
      <c r="H1064" s="72" t="s">
        <v>131</v>
      </c>
      <c r="I1064" s="74">
        <v>0.13</v>
      </c>
      <c r="J1064" s="84">
        <v>25</v>
      </c>
      <c r="K1064" s="70" t="s">
        <v>27</v>
      </c>
      <c r="L1064" s="74">
        <v>10</v>
      </c>
      <c r="M1064" s="136" t="s">
        <v>132</v>
      </c>
      <c r="N1064" s="74" t="s">
        <v>87</v>
      </c>
      <c r="O1064" s="88">
        <v>42339</v>
      </c>
      <c r="P1064" s="76">
        <v>1499</v>
      </c>
      <c r="Q1064" s="76">
        <v>830</v>
      </c>
      <c r="R1064" s="79" t="str">
        <f>HYPERLINK("https://amzn.to/2yspzBm","link*")</f>
        <v>link*</v>
      </c>
      <c r="S1064" s="79" t="str">
        <f>HYPERLINK("https://www.bhphotovideo.com/c/product/1189220-REG/zeiss_2131_999_loxia_21mm_f_2_8_lens.html/BI/19619/KBID/12129/DFF/d10-v21-t1-x677077/SID/EZ","link*")</f>
        <v>link*</v>
      </c>
      <c r="T1064" s="79" t="str">
        <f>HYPERLINK("https://amzn.to/2GHSOoA","link*")</f>
        <v>link*</v>
      </c>
      <c r="U1064" s="79"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row>
    <row r="1065" spans="1:22" ht="13">
      <c r="A1065" s="19" t="str">
        <f>HYPERLINK("https://phillipreeve.net/blog/voigtlander-21mm-f35-review/","Voigtlander 21mm F3.5 Color-Skopar")</f>
        <v>Voigtlander 21mm F3.5 Color-Skopar</v>
      </c>
      <c r="B1065" s="21">
        <v>230</v>
      </c>
      <c r="C1065" s="23">
        <v>21</v>
      </c>
      <c r="D1065" s="25">
        <v>3.5</v>
      </c>
      <c r="E1065" s="221">
        <v>63</v>
      </c>
      <c r="F1065" s="193">
        <v>40</v>
      </c>
      <c r="G1065" s="39" t="s">
        <v>25</v>
      </c>
      <c r="H1065" s="33" t="s">
        <v>131</v>
      </c>
      <c r="I1065" s="222"/>
      <c r="J1065" s="37">
        <v>20</v>
      </c>
      <c r="K1065" s="39" t="s">
        <v>27</v>
      </c>
      <c r="L1065" s="35">
        <v>10</v>
      </c>
      <c r="M1065" s="162" t="s">
        <v>91</v>
      </c>
      <c r="N1065" s="35" t="s">
        <v>29</v>
      </c>
      <c r="O1065" s="42">
        <v>43374</v>
      </c>
      <c r="P1065" s="44">
        <v>699</v>
      </c>
      <c r="Q1065" s="44">
        <v>525</v>
      </c>
      <c r="R1065" s="47" t="str">
        <f>HYPERLINK("https://amzn.to/2JCie75","link*")</f>
        <v>link*</v>
      </c>
      <c r="S1065" s="47" t="str">
        <f>HYPERLINK("https://www.bhphotovideo.com/c/product/1437613-REG/voigtlander_color_skopar_21mm_f_3_5_aspherical.html/BI/19619/KBID/12129/kw/VO2135E/DFF/d10-v2-t1-xVO2135E","link*")</f>
        <v>link*</v>
      </c>
      <c r="T1065" s="47" t="str">
        <f>HYPERLINK("https://amzn.to/2ZoERan","link*")</f>
        <v>link*</v>
      </c>
      <c r="U1065" s="47"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V1065" s="130"/>
    </row>
    <row r="1066" spans="1:22" ht="13" hidden="1">
      <c r="A1066" s="157" t="str">
        <f>HYPERLINK("https://phillipreeve.net/blog/review-sony-fe-24mm-1-4-gm/","Sony GM 1.4/24")</f>
        <v>Sony GM 1.4/24</v>
      </c>
      <c r="B1066" s="50">
        <v>445</v>
      </c>
      <c r="C1066" s="68">
        <v>24</v>
      </c>
      <c r="D1066" s="206">
        <v>1.4</v>
      </c>
      <c r="E1066" s="194">
        <v>75</v>
      </c>
      <c r="F1066" s="195">
        <v>92</v>
      </c>
      <c r="G1066" s="73" t="s">
        <v>36</v>
      </c>
      <c r="H1066" s="57" t="s">
        <v>73</v>
      </c>
      <c r="I1066" s="59">
        <v>0.17</v>
      </c>
      <c r="J1066" s="71">
        <v>25</v>
      </c>
      <c r="K1066" s="73" t="s">
        <v>27</v>
      </c>
      <c r="L1066" s="59">
        <v>11</v>
      </c>
      <c r="M1066" s="75" t="s">
        <v>28</v>
      </c>
      <c r="N1066" s="59" t="s">
        <v>41</v>
      </c>
      <c r="O1066" s="83">
        <v>43374</v>
      </c>
      <c r="P1066" s="61">
        <v>1399</v>
      </c>
      <c r="Q1066" s="61">
        <v>1500</v>
      </c>
      <c r="R1066" s="69" t="str">
        <f>HYPERLINK("https://amzn.to/2ywcbw1","link*")</f>
        <v>link*</v>
      </c>
      <c r="S1066" s="69" t="str">
        <f>HYPERLINK("https://www.bhphotovideo.com/c/product/1435887-REG/sony_fe_24mm_f_1_4_gm.html/BI/19619/KBID/12129/DFF/d10-v21-t1-x915647/SID/EZ","link*")</f>
        <v>link*</v>
      </c>
      <c r="T1066" s="69" t="str">
        <f>HYPERLINK("https://amzn.to/2L2tV9y","link*")</f>
        <v>link*</v>
      </c>
      <c r="U1066" s="69" t="e">
        <f>HYPERLINK("http://rover.ebay.com/rover/1/711-53200-19255-0/1?icep_ff3=9&amp;pub=5575076376&amp;toolid=10001&amp;campid=5338573609&amp;customid=&amp;icep_uq=sony+gm+24mm&amp;icep_sellerId=&amp;icep_ex_kw=&amp;icep_sortBy=12&amp;icep_catId=3323&amp;icep_minPrice=&amp;icep_maxPrice=&amp;ipn=psmain&amp;icep_vectorid=2294"&amp;"66&amp;kwid=902099&amp;mtid=824&amp;kw=lg","link*")</f>
        <v>#VALUE!</v>
      </c>
    </row>
    <row r="1067" spans="1:22" ht="13" hidden="1">
      <c r="A1067" s="58" t="s">
        <v>121</v>
      </c>
      <c r="B1067" s="60">
        <v>760</v>
      </c>
      <c r="C1067" s="62">
        <v>24</v>
      </c>
      <c r="D1067" s="192">
        <v>1.4</v>
      </c>
      <c r="E1067" s="194">
        <v>85</v>
      </c>
      <c r="F1067" s="232">
        <v>116</v>
      </c>
      <c r="G1067" s="74" t="s">
        <v>36</v>
      </c>
      <c r="H1067" s="72" t="s">
        <v>80</v>
      </c>
      <c r="I1067" s="74">
        <v>0.19</v>
      </c>
      <c r="J1067" s="84">
        <v>25</v>
      </c>
      <c r="K1067" s="70" t="s">
        <v>27</v>
      </c>
      <c r="L1067" s="74">
        <v>9</v>
      </c>
      <c r="M1067" s="112">
        <v>43784</v>
      </c>
      <c r="N1067" s="74" t="s">
        <v>47</v>
      </c>
      <c r="O1067" s="88">
        <v>43221</v>
      </c>
      <c r="P1067" s="76">
        <v>849</v>
      </c>
      <c r="Q1067" s="76">
        <v>620</v>
      </c>
      <c r="R1067" s="79" t="str">
        <f>HYPERLINK("https://amzn.to/2Isw2Rv","link*")</f>
        <v>link*</v>
      </c>
      <c r="S1067" s="79" t="str">
        <f>HYPERLINK("https://www.bhphotovideo.com/c/product/1393491-REG/sigma_24mm_f_1_4_dg_hsm.html/BI/19619/KBID/12129/kw/SI2414SO/DFF/d10-v2-t1-xSI2414SO","link*")</f>
        <v>link*</v>
      </c>
      <c r="T1067" s="79" t="str">
        <f>HYPERLINK("https://amzn.to/2K7sIP4","link*")</f>
        <v>link*</v>
      </c>
      <c r="U1067" s="79"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V1067" s="77" t="s">
        <v>48</v>
      </c>
    </row>
    <row r="1068" spans="1:22" ht="13" hidden="1">
      <c r="A1068" s="126" t="str">
        <f>HYPERLINK("https://phillipreeve.net/blog/review-samyang-af-2-4-28-fe-at-least-its-small/","Samyang AF 24mm F/2.8")</f>
        <v>Samyang AF 24mm F/2.8</v>
      </c>
      <c r="B1068" s="60">
        <v>93</v>
      </c>
      <c r="C1068" s="62">
        <v>24</v>
      </c>
      <c r="D1068" s="64">
        <v>2.8</v>
      </c>
      <c r="E1068" s="194">
        <v>61</v>
      </c>
      <c r="F1068" s="176">
        <v>37</v>
      </c>
      <c r="G1068" s="70" t="s">
        <v>36</v>
      </c>
      <c r="H1068" s="72" t="s">
        <v>124</v>
      </c>
      <c r="I1068" s="74">
        <v>0.15</v>
      </c>
      <c r="J1068" s="84">
        <v>20</v>
      </c>
      <c r="K1068" s="70" t="s">
        <v>27</v>
      </c>
      <c r="L1068" s="74">
        <v>9</v>
      </c>
      <c r="M1068" s="136" t="s">
        <v>127</v>
      </c>
      <c r="N1068" s="74" t="s">
        <v>38</v>
      </c>
      <c r="O1068" s="88">
        <v>43282</v>
      </c>
      <c r="P1068" s="184">
        <v>279</v>
      </c>
      <c r="Q1068" s="184">
        <v>210</v>
      </c>
      <c r="R1068" s="79" t="str">
        <f>HYPERLINK("https://amzn.to/2NEHZ7c","link*")</f>
        <v>link*</v>
      </c>
      <c r="S1068" s="79" t="str">
        <f>HYPERLINK("https://www.bhphotovideo.com/c/product/1413350-REG/samyang_syio24af_e_af_24mm_f_2_8_fe.html/BI/19619/KBID/12129/kw/SASYIO24AFE/DFF/d10-v2-t1-xSASYIO24AFE","link*")</f>
        <v>link*</v>
      </c>
      <c r="T1068" s="79" t="str">
        <f>HYPERLINK("https://amzn.to/2Onv1QE","link*")</f>
        <v>link*</v>
      </c>
      <c r="U1068"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row>
    <row r="1069" spans="1:22" ht="13" hidden="1">
      <c r="A1069" s="196" t="str">
        <f>HYPERLINK("https://phillipreeve.net/blog/review-tamron-24mm-f-2-8-di-iii-osd-m12/","Tamron 24mm f/2.8 Di III OSD M1:2")</f>
        <v>Tamron 24mm f/2.8 Di III OSD M1:2</v>
      </c>
      <c r="B1069" s="60">
        <v>215</v>
      </c>
      <c r="C1069" s="62">
        <v>24</v>
      </c>
      <c r="D1069" s="64">
        <v>2.8</v>
      </c>
      <c r="E1069" s="199">
        <v>73</v>
      </c>
      <c r="F1069" s="200">
        <v>64</v>
      </c>
      <c r="G1069" s="70" t="s">
        <v>36</v>
      </c>
      <c r="H1069" s="72" t="s">
        <v>73</v>
      </c>
      <c r="I1069" s="201">
        <v>0.5</v>
      </c>
      <c r="J1069" s="84">
        <v>12</v>
      </c>
      <c r="K1069" s="70" t="s">
        <v>27</v>
      </c>
      <c r="L1069" s="74">
        <v>7</v>
      </c>
      <c r="M1069" s="136" t="s">
        <v>123</v>
      </c>
      <c r="N1069" s="74" t="s">
        <v>78</v>
      </c>
      <c r="O1069" s="88">
        <v>43796</v>
      </c>
      <c r="P1069" s="76">
        <v>349</v>
      </c>
      <c r="Q1069" s="76"/>
      <c r="R1069" s="79" t="str">
        <f>HYPERLINK("https://amzn.to/34hgYPr","link*")</f>
        <v>link*</v>
      </c>
      <c r="S1069" s="79" t="str">
        <f>HYPERLINK("https://www.bhphotovideo.com/c/product/1512042-REG/tamron_f051_24mm_f_2_8_di_iii.html/BI/19619/KBID/12129/DFF/d10-v21-t1-x994971/SID/EZ","link*")</f>
        <v>link*</v>
      </c>
      <c r="T1069" s="79" t="str">
        <f>HYPERLINK("https://amzn.to/38yg1G1","link*")</f>
        <v>link*</v>
      </c>
      <c r="U1069" s="79" t="e">
        <f>HYPERLINK("http://rover.ebay.com/rover/1/711-53200-19255-0/1?icep_ff3=9&amp;pub=5575076376&amp;toolid=10001&amp;campid=5338573609&amp;customid=&amp;icep_uq=tamron+24+2.8+osd+&amp;icep_sellerId=&amp;icep_ex_kw=&amp;icep_sortBy=12&amp;icep_catId=3323&amp;icep_minPrice=&amp;icep_maxPrice=&amp;ipn=psmain&amp;icep_vectori"&amp;"d=229466&amp;kwid=902099&amp;mtid=824&amp;kw=lg","link*")</f>
        <v>#VALUE!</v>
      </c>
    </row>
    <row r="1070" spans="1:22" ht="13" hidden="1">
      <c r="A1070" s="196" t="str">
        <f>HYPERLINK("https://phillipreeve.net/blog/review-sony-fe-2-824-70mm-gm/","Sony GM 2.8/24-70")</f>
        <v>Sony GM 2.8/24-70</v>
      </c>
      <c r="B1070" s="60">
        <v>886</v>
      </c>
      <c r="C1070" s="62">
        <v>24</v>
      </c>
      <c r="D1070" s="64">
        <v>2.8</v>
      </c>
      <c r="E1070" s="194">
        <v>88</v>
      </c>
      <c r="F1070" s="176">
        <v>136</v>
      </c>
      <c r="G1070" s="70" t="s">
        <v>36</v>
      </c>
      <c r="H1070" s="72" t="s">
        <v>68</v>
      </c>
      <c r="I1070" s="201">
        <v>0.25</v>
      </c>
      <c r="J1070" s="84">
        <v>38</v>
      </c>
      <c r="K1070" s="70" t="s">
        <v>27</v>
      </c>
      <c r="L1070" s="74">
        <v>9</v>
      </c>
      <c r="M1070" s="136" t="s">
        <v>54</v>
      </c>
      <c r="N1070" s="74" t="s">
        <v>41</v>
      </c>
      <c r="O1070" s="88">
        <v>42401</v>
      </c>
      <c r="P1070" s="76">
        <v>2199</v>
      </c>
      <c r="Q1070" s="76">
        <v>1500</v>
      </c>
      <c r="R1070" s="79" t="str">
        <f>HYPERLINK("https://amzn.to/2STHavK","link*")</f>
        <v>link*</v>
      </c>
      <c r="S1070" s="79" t="str">
        <f>HYPERLINK("https://www.bhphotovideo.com/c/search?Ntt=gm%2024-70&amp;N=0&amp;InitialSearch=yes&amp;sts=ma&amp;Top+Nav-Search=&amp;BI=19619&amp;KBID=12129&amp;KWID=EZ","link*")</f>
        <v>link*</v>
      </c>
      <c r="T1070" s="79" t="str">
        <f>HYPERLINK("https://amzn.to/2ZwoyU7","link*")</f>
        <v>link*</v>
      </c>
      <c r="U1070"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row>
    <row r="1071" spans="1:22" ht="13" hidden="1">
      <c r="A1071" s="198" t="s">
        <v>148</v>
      </c>
      <c r="B1071" s="60">
        <v>835</v>
      </c>
      <c r="C1071" s="62">
        <v>24</v>
      </c>
      <c r="D1071" s="64">
        <v>2.8</v>
      </c>
      <c r="E1071" s="199">
        <v>87.8</v>
      </c>
      <c r="F1071" s="200">
        <v>122.9</v>
      </c>
      <c r="G1071" s="70" t="s">
        <v>36</v>
      </c>
      <c r="H1071" s="72" t="s">
        <v>68</v>
      </c>
      <c r="I1071" s="201">
        <v>0.28999999999999998</v>
      </c>
      <c r="J1071" s="84">
        <v>18</v>
      </c>
      <c r="K1071" s="70" t="s">
        <v>27</v>
      </c>
      <c r="L1071" s="74">
        <v>11</v>
      </c>
      <c r="M1071" s="136" t="s">
        <v>149</v>
      </c>
      <c r="N1071" s="74" t="s">
        <v>47</v>
      </c>
      <c r="O1071" s="88">
        <v>43799</v>
      </c>
      <c r="P1071" s="156" t="s">
        <v>150</v>
      </c>
      <c r="Q1071" s="76"/>
      <c r="R1071" s="79" t="str">
        <f>HYPERLINK("https://amzn.to/2YPjpb1","link*")</f>
        <v>link*</v>
      </c>
      <c r="S1071" s="79" t="str">
        <f>HYPERLINK("https://www.bhphotovideo.com/c/product/1516303-REG/sigma_24_70mm_f_2_8_dg_dn.html/BI/19619/KBID/12129/DFF/d10-v21-t1-x999330/SID/EZ","link*")</f>
        <v>link*</v>
      </c>
      <c r="T1071" s="121" t="s">
        <v>51</v>
      </c>
      <c r="U1071" s="121" t="s">
        <v>51</v>
      </c>
    </row>
    <row r="1072" spans="1:22" ht="13" hidden="1">
      <c r="A1072" s="58" t="s">
        <v>129</v>
      </c>
      <c r="B1072" s="60">
        <v>780</v>
      </c>
      <c r="C1072" s="62">
        <v>24</v>
      </c>
      <c r="D1072" s="64" t="s">
        <v>130</v>
      </c>
      <c r="E1072" s="194">
        <v>80</v>
      </c>
      <c r="F1072" s="176">
        <v>119</v>
      </c>
      <c r="G1072" s="70" t="s">
        <v>36</v>
      </c>
      <c r="H1072" s="72" t="s">
        <v>64</v>
      </c>
      <c r="I1072" s="201">
        <v>0.27</v>
      </c>
      <c r="J1072" s="84">
        <v>50</v>
      </c>
      <c r="K1072" s="134" t="s">
        <v>66</v>
      </c>
      <c r="L1072" s="74">
        <v>7</v>
      </c>
      <c r="M1072" s="136" t="s">
        <v>133</v>
      </c>
      <c r="N1072" s="74" t="s">
        <v>41</v>
      </c>
      <c r="O1072" s="88">
        <v>42064</v>
      </c>
      <c r="P1072" s="76">
        <v>998</v>
      </c>
      <c r="Q1072" s="76">
        <v>600</v>
      </c>
      <c r="R1072" s="79" t="str">
        <f>HYPERLINK("http://amzn.to/2fbX5FU","link*")</f>
        <v>link*</v>
      </c>
      <c r="S1072" s="79" t="str">
        <f>HYPERLINK("https://www.bhphotovideo.com/c/search?Ntt=sony%2024-240&amp;N=0&amp;InitialSearch=yes&amp;sts=ma&amp;Top+Nav-Search=&amp;BI=19619&amp;KBID=12129&amp;KWID=EZ","link*")</f>
        <v>link*</v>
      </c>
      <c r="T1072" s="79" t="str">
        <f>HYPERLINK("http://amzn.to/2wyrL7A","link*")</f>
        <v>link*</v>
      </c>
      <c r="U1072"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row>
    <row r="1073" spans="1:22" ht="13" hidden="1">
      <c r="A1073" s="58" t="s">
        <v>134</v>
      </c>
      <c r="B1073" s="60">
        <v>663</v>
      </c>
      <c r="C1073" s="62">
        <v>24</v>
      </c>
      <c r="D1073" s="64">
        <v>4</v>
      </c>
      <c r="E1073" s="194">
        <v>83</v>
      </c>
      <c r="F1073" s="195">
        <v>113</v>
      </c>
      <c r="G1073" s="70" t="s">
        <v>36</v>
      </c>
      <c r="H1073" s="72" t="s">
        <v>80</v>
      </c>
      <c r="I1073" s="201">
        <v>0.31</v>
      </c>
      <c r="J1073" s="84">
        <v>38</v>
      </c>
      <c r="K1073" s="134" t="s">
        <v>66</v>
      </c>
      <c r="L1073" s="74">
        <v>9</v>
      </c>
      <c r="M1073" s="136" t="s">
        <v>135</v>
      </c>
      <c r="N1073" s="74" t="s">
        <v>41</v>
      </c>
      <c r="O1073" s="88">
        <v>43009</v>
      </c>
      <c r="P1073" s="76">
        <v>1398</v>
      </c>
      <c r="Q1073" s="77">
        <v>1050</v>
      </c>
      <c r="R1073" s="79" t="str">
        <f>HYPERLINK("https://amzn.to/2K7LwMR","link*")</f>
        <v>link*</v>
      </c>
      <c r="S1073" s="79" t="str">
        <f>HYPERLINK("https://www.bhphotovideo.com/c/search?Ntt=sony%2024-105&amp;N=0&amp;InitialSearch=yes&amp;sts=ma&amp;Top+Nav-Search=&amp;BI=19619&amp;KBID=12129&amp;KWID=EZ","link*")</f>
        <v>link*</v>
      </c>
      <c r="T1073" s="79" t="str">
        <f>HYPERLINK("https://amzn.to/2Ld8hOS","link*")</f>
        <v>link*</v>
      </c>
      <c r="U1073"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row>
    <row r="1074" spans="1:22" ht="13" hidden="1">
      <c r="A1074" s="19" t="str">
        <f>HYPERLINK("https://phillipreeve.net/blog/rolling-review-carl-zeiss-vario-tessar-t-fe-424-70-za/","Sony ZA 4/24-70 OSS")</f>
        <v>Sony ZA 4/24-70 OSS</v>
      </c>
      <c r="B1074" s="21">
        <v>426</v>
      </c>
      <c r="C1074" s="23">
        <v>24</v>
      </c>
      <c r="D1074" s="25">
        <v>4</v>
      </c>
      <c r="E1074" s="221">
        <v>73</v>
      </c>
      <c r="F1074" s="237">
        <v>95</v>
      </c>
      <c r="G1074" s="39" t="s">
        <v>36</v>
      </c>
      <c r="H1074" s="33" t="s">
        <v>73</v>
      </c>
      <c r="I1074" s="35">
        <v>0.2</v>
      </c>
      <c r="J1074" s="37">
        <v>40</v>
      </c>
      <c r="K1074" s="238" t="s">
        <v>66</v>
      </c>
      <c r="L1074" s="35">
        <v>7</v>
      </c>
      <c r="M1074" s="162" t="s">
        <v>43</v>
      </c>
      <c r="N1074" s="35" t="s">
        <v>41</v>
      </c>
      <c r="O1074" s="42">
        <v>41640</v>
      </c>
      <c r="P1074" s="44">
        <v>898</v>
      </c>
      <c r="Q1074" s="44">
        <v>420</v>
      </c>
      <c r="R1074" s="47" t="str">
        <f>HYPERLINK("http://amzn.to/2vlG2Yq","link*")</f>
        <v>link*</v>
      </c>
      <c r="S1074" s="47" t="str">
        <f>HYPERLINK("https://www.bhphotovideo.com/c/product/1008126-REG/sony_sel2470z_vario_tessar_t_fe_24_70mm.html/BI/19619/KBID/12129/DFF/d10-v21-t1-x466842/SID/EZ","link*")</f>
        <v>link*</v>
      </c>
      <c r="T1074" s="47" t="str">
        <f>HYPERLINK("http://amzn.to/2fl1XZk","link*")</f>
        <v>link*</v>
      </c>
      <c r="U1074" s="47"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V1074" s="130"/>
    </row>
    <row r="1075" spans="1:22" ht="13" hidden="1">
      <c r="A1075" s="157" t="str">
        <f>HYPERLINK("https://phillipreeve.net/blog/review-zeiss-batis-distagon-t-25mm-f2/","Zeiss Batis 2/25")</f>
        <v>Zeiss Batis 2/25</v>
      </c>
      <c r="B1075" s="50">
        <v>335</v>
      </c>
      <c r="C1075" s="68">
        <v>25</v>
      </c>
      <c r="D1075" s="52">
        <v>2</v>
      </c>
      <c r="E1075" s="194">
        <v>92</v>
      </c>
      <c r="F1075" s="195">
        <v>78</v>
      </c>
      <c r="G1075" s="73" t="s">
        <v>36</v>
      </c>
      <c r="H1075" s="57" t="s">
        <v>73</v>
      </c>
      <c r="I1075" s="59">
        <v>0.19</v>
      </c>
      <c r="J1075" s="71">
        <v>20</v>
      </c>
      <c r="K1075" s="73" t="s">
        <v>27</v>
      </c>
      <c r="L1075" s="59">
        <v>9</v>
      </c>
      <c r="M1075" s="75" t="s">
        <v>140</v>
      </c>
      <c r="N1075" s="59" t="s">
        <v>87</v>
      </c>
      <c r="O1075" s="83">
        <v>42125</v>
      </c>
      <c r="P1075" s="61">
        <v>1299</v>
      </c>
      <c r="Q1075" s="61">
        <v>675</v>
      </c>
      <c r="R1075" s="69" t="str">
        <f>HYPERLINK("https://amzn.to/2ypHQiT","link*")</f>
        <v>link*</v>
      </c>
      <c r="S1075" s="69" t="str">
        <f>HYPERLINK("https://www.bhphotovideo.com/c/product/1140832-REG/zeiss_2103_750_25mm_f_2_0_batis_wide.html/BI/19619/KBID/12129/DFF/d10-v21-t1-x627141/SID/EZ","link*")</f>
        <v>link*</v>
      </c>
      <c r="T1075" s="69" t="str">
        <f>HYPERLINK("https://amzn.to/2L20DIj","link*")</f>
        <v>link*</v>
      </c>
      <c r="U1075" s="6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row>
    <row r="1076" spans="1:22" ht="13">
      <c r="A1076" s="19" t="str">
        <f>HYPERLINK("https://phillipreeve.net/blog/review-zeiss-loxia-2-4-25mm-distagon/","Zeiss Loxia 2.4/25")</f>
        <v>Zeiss Loxia 2.4/25</v>
      </c>
      <c r="B1076" s="21">
        <v>393</v>
      </c>
      <c r="C1076" s="23">
        <v>25</v>
      </c>
      <c r="D1076" s="25">
        <v>2.4</v>
      </c>
      <c r="E1076" s="221">
        <v>62</v>
      </c>
      <c r="F1076" s="237">
        <v>75</v>
      </c>
      <c r="G1076" s="39" t="s">
        <v>25</v>
      </c>
      <c r="H1076" s="33" t="s">
        <v>131</v>
      </c>
      <c r="I1076" s="35">
        <v>0.16</v>
      </c>
      <c r="J1076" s="37">
        <v>25</v>
      </c>
      <c r="K1076" s="39" t="s">
        <v>27</v>
      </c>
      <c r="L1076" s="35">
        <v>10</v>
      </c>
      <c r="M1076" s="162" t="s">
        <v>140</v>
      </c>
      <c r="N1076" s="35" t="s">
        <v>87</v>
      </c>
      <c r="O1076" s="42">
        <v>43160</v>
      </c>
      <c r="P1076" s="44">
        <v>1299</v>
      </c>
      <c r="Q1076" s="44">
        <v>900</v>
      </c>
      <c r="R1076" s="47" t="str">
        <f>HYPERLINK("https://amzn.to/2OlyeAf","link*")</f>
        <v>link*</v>
      </c>
      <c r="S1076" s="47" t="str">
        <f>HYPERLINK("https://www.bhphotovideo.com/c/product/1389169-REG/zeiss_000000_2218_783_loxia_25mm_f_2_4_lens.html/BI/19619/KBID/12129/kw/ZE2524L/DFF/d10-v2-t1-xZE2524L","link*")</f>
        <v>link*</v>
      </c>
      <c r="T1076" s="47" t="str">
        <f>HYPERLINK("https://amzn.to/2OlyeAf","link*")</f>
        <v>link*</v>
      </c>
      <c r="U1076" s="47" t="e">
        <f>HYPERLINK("http://rover.ebay.com/rover/1/711-53200-19255-0/1?icep_ff3=9&amp;pub=5575076376&amp;toolid=10001&amp;campid=5338573609&amp;customid=&amp;icep_uq=Zeiss+loxia+25mm&amp;icep_sellerId=&amp;icep_ex_kw=&amp;icep_sortBy=12&amp;icep_catId=3323&amp;icep_minPrice=&amp;icep_maxPrice=&amp;ipn=psmain&amp;icep_vectorid="&amp;"229466&amp;kwid=902099&amp;mtid=824&amp;kw=lg","link*")</f>
        <v>#VALUE!</v>
      </c>
      <c r="V1076" s="130"/>
    </row>
    <row r="1077" spans="1:22" ht="13" hidden="1">
      <c r="A1077" s="66" t="s">
        <v>141</v>
      </c>
      <c r="B1077" s="50">
        <v>965</v>
      </c>
      <c r="C1077" s="68">
        <v>28</v>
      </c>
      <c r="D1077" s="52">
        <v>1.4</v>
      </c>
      <c r="E1077" s="194">
        <v>83</v>
      </c>
      <c r="F1077" s="195">
        <v>134</v>
      </c>
      <c r="G1077" s="73" t="s">
        <v>36</v>
      </c>
      <c r="H1077" s="57" t="s">
        <v>80</v>
      </c>
      <c r="I1077" s="59">
        <v>0.19</v>
      </c>
      <c r="J1077" s="71">
        <v>28</v>
      </c>
      <c r="K1077" s="73" t="s">
        <v>27</v>
      </c>
      <c r="L1077" s="59">
        <v>9</v>
      </c>
      <c r="M1077" s="75" t="s">
        <v>133</v>
      </c>
      <c r="N1077" s="59" t="s">
        <v>47</v>
      </c>
      <c r="O1077" s="83">
        <v>43435</v>
      </c>
      <c r="P1077" s="61">
        <v>1399</v>
      </c>
      <c r="Q1077" s="61" t="s">
        <v>44</v>
      </c>
      <c r="R1077" s="69" t="str">
        <f>HYPERLINK("https://amzn.to/2Wn0pxO","link*")</f>
        <v>link*</v>
      </c>
      <c r="S1077" s="69" t="str">
        <f>HYPERLINK("https://www.bhphotovideo.com/c/product/1436285-REG/sigma_28mm_f_1_4_dg_hsm.html/BI/19619/KBID/12129/kw/SI2814DGSE/DFF/d10-v2-t1-xSI2814DGSE","link*")</f>
        <v>link*</v>
      </c>
      <c r="T1077" s="69" t="str">
        <f>HYPERLINK("https://amzn.to/2WzVkHd","link*")</f>
        <v>link*</v>
      </c>
      <c r="U1077" s="69"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row>
    <row r="1078" spans="1:22" ht="13" hidden="1">
      <c r="A1078" s="126" t="str">
        <f>HYPERLINK("https://www.systemkamera-forum.de/blog/2015/05/sony-fe-28mm-f2-test-und-erfahrungsbericht/","Sony FE 2/28")</f>
        <v>Sony FE 2/28</v>
      </c>
      <c r="B1078" s="60">
        <v>200</v>
      </c>
      <c r="C1078" s="62">
        <v>28</v>
      </c>
      <c r="D1078" s="64">
        <v>2</v>
      </c>
      <c r="E1078" s="194">
        <v>60</v>
      </c>
      <c r="F1078" s="195">
        <v>60</v>
      </c>
      <c r="G1078" s="70" t="s">
        <v>36</v>
      </c>
      <c r="H1078" s="72" t="s">
        <v>124</v>
      </c>
      <c r="I1078" s="74">
        <v>0.13</v>
      </c>
      <c r="J1078" s="84">
        <v>29</v>
      </c>
      <c r="K1078" s="70" t="s">
        <v>27</v>
      </c>
      <c r="L1078" s="74">
        <v>9</v>
      </c>
      <c r="M1078" s="136" t="s">
        <v>91</v>
      </c>
      <c r="N1078" s="74" t="s">
        <v>41</v>
      </c>
      <c r="O1078" s="88">
        <v>42064</v>
      </c>
      <c r="P1078" s="156">
        <v>448</v>
      </c>
      <c r="Q1078" s="156">
        <v>280</v>
      </c>
      <c r="R1078" s="79" t="str">
        <f>HYPERLINK("https://amzn.to/2GXJWdo","link*")</f>
        <v>link*</v>
      </c>
      <c r="S1078" s="79" t="str">
        <f>HYPERLINK("https://www.bhphotovideo.com/c/product/1402637-REG/sony_fe_28mm_f_2_lens.html/BI/19619/KBID/12129/kw/SO2820F/DFF/d10-v2-t1-xSO2820F","link*")</f>
        <v>link*</v>
      </c>
      <c r="T1078" s="79" t="str">
        <f>HYPERLINK("http://amzn.to/2wyLOCO","link*")</f>
        <v>link*</v>
      </c>
      <c r="U1078" s="79" t="e">
        <f>HYPERLINK("http://rover.ebay.com/rover/1/711-53200-19255-0/1?icep_ff3=10&amp;pub=5575076376&amp;toolid=10001&amp;campid=5338164340&amp;customid=&amp;icep_uq=sony+28+f2&amp;icep_sellerId=&amp;icep_ex_kw=&amp;icep_sortBy=12&amp;icep_catId=&amp;icep_minPrice=&amp;icep_maxPrice=&amp;ipn=psmain&amp;icep_vectorid=229466&amp;kw"&amp;"id=902099&amp;mtid=824&amp;kw=lg","link*")</f>
        <v>#VALUE!</v>
      </c>
    </row>
    <row r="1079" spans="1:22" ht="13" hidden="1">
      <c r="A1079" s="126" t="str">
        <f>HYPERLINK("https://phillipreeve.net/blog/review-tamron-28-75mm-f-2-8-di-iii-rxd-sony-e-mount/","Tamron 2.8/28-75")</f>
        <v>Tamron 2.8/28-75</v>
      </c>
      <c r="B1079" s="60">
        <v>550</v>
      </c>
      <c r="C1079" s="62">
        <v>28</v>
      </c>
      <c r="D1079" s="64">
        <v>2.8</v>
      </c>
      <c r="E1079" s="194">
        <v>73</v>
      </c>
      <c r="F1079" s="195">
        <v>118</v>
      </c>
      <c r="G1079" s="70" t="s">
        <v>36</v>
      </c>
      <c r="H1079" s="72" t="s">
        <v>73</v>
      </c>
      <c r="I1079" s="201">
        <v>0.34</v>
      </c>
      <c r="J1079" s="84">
        <v>19</v>
      </c>
      <c r="K1079" s="70" t="s">
        <v>27</v>
      </c>
      <c r="L1079" s="74">
        <v>9</v>
      </c>
      <c r="M1079" s="136" t="s">
        <v>122</v>
      </c>
      <c r="N1079" s="74" t="s">
        <v>78</v>
      </c>
      <c r="O1079" s="88">
        <v>43252</v>
      </c>
      <c r="P1079" s="156">
        <v>879</v>
      </c>
      <c r="Q1079" s="76">
        <v>790</v>
      </c>
      <c r="R1079" s="79" t="str">
        <f>HYPERLINK("https://amzn.to/2ST5uxq","link*")</f>
        <v>link*</v>
      </c>
      <c r="S1079" s="79" t="str">
        <f>HYPERLINK("https://www.bhphotovideo.com/c/product/1393332-REG/tamron_a036_28_75mm_f_2_8_di_iii.html/BI/19619/KBID/12129/DFF/d10-v21-t1-x892059/SID/EZ","link*")</f>
        <v>link*</v>
      </c>
      <c r="T1079" s="79" t="str">
        <f>HYPERLINK("https://amzn.to/2ZmSzdU","link*")</f>
        <v>link*</v>
      </c>
      <c r="U1079" s="79"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row>
    <row r="1080" spans="1:22" ht="13" hidden="1">
      <c r="A1080" s="58" t="s">
        <v>145</v>
      </c>
      <c r="B1080" s="60">
        <v>295</v>
      </c>
      <c r="C1080" s="62">
        <v>28</v>
      </c>
      <c r="D1080" s="64" t="s">
        <v>146</v>
      </c>
      <c r="E1080" s="194">
        <v>73</v>
      </c>
      <c r="F1080" s="195">
        <v>83</v>
      </c>
      <c r="G1080" s="70" t="s">
        <v>36</v>
      </c>
      <c r="H1080" s="72" t="s">
        <v>147</v>
      </c>
      <c r="I1080" s="74">
        <v>0.19</v>
      </c>
      <c r="J1080" s="84">
        <v>30</v>
      </c>
      <c r="K1080" s="134" t="s">
        <v>66</v>
      </c>
      <c r="L1080" s="74">
        <v>7</v>
      </c>
      <c r="M1080" s="136" t="s">
        <v>91</v>
      </c>
      <c r="N1080" s="74" t="s">
        <v>41</v>
      </c>
      <c r="O1080" s="88">
        <v>41548</v>
      </c>
      <c r="P1080" s="76">
        <v>398</v>
      </c>
      <c r="Q1080" s="76">
        <v>110</v>
      </c>
      <c r="R1080" s="79" t="str">
        <f>HYPERLINK("https://www.amazon.com/gp/product/B00FYOFADE/ref=as_li_tl?ie=UTF8&amp;tag=wwwphillipree-20&amp;camp=1789&amp;creative=9325&amp;linkCode=as2&amp;creativeASIN=B00FYOFADE&amp;linkId=96720b245156eae53bb1a672d4453d3f","link*")</f>
        <v>link*</v>
      </c>
      <c r="S1080" s="79" t="str">
        <f>HYPERLINK("https://www.bhphotovideo.com/c/product/1015472-REG/sony_sel2870_fe_28_70mm_f_3_5_5_6_oss.html/BI/19619/KBID/12129/DFF/d10-v21-t1-x473993/SID/EZ","link*")</f>
        <v>link*</v>
      </c>
      <c r="T1080" s="79" t="str">
        <f>HYPERLINK("https://www.amazon.de/gp/product/B00HSHFPD0/ref=as_li_tl?ie=UTF8&amp;tag=wwwphillipree-21&amp;camp=1638&amp;creative=6742&amp;linkCode=as2&amp;creativeASIN=B00HSHFPD0&amp;linkId=6701f30673f8a4071232ca85e1953506","link*")</f>
        <v>link*</v>
      </c>
      <c r="U1080" s="79"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row>
    <row r="1081" spans="1:22" ht="13" hidden="1">
      <c r="A1081" s="120" t="s">
        <v>151</v>
      </c>
      <c r="B1081" s="21">
        <v>1215</v>
      </c>
      <c r="C1081" s="23">
        <v>28</v>
      </c>
      <c r="D1081" s="25">
        <v>4</v>
      </c>
      <c r="E1081" s="221">
        <v>105</v>
      </c>
      <c r="F1081" s="237">
        <v>165</v>
      </c>
      <c r="G1081" s="39" t="s">
        <v>36</v>
      </c>
      <c r="H1081" s="240" t="s">
        <v>152</v>
      </c>
      <c r="I1081" s="222"/>
      <c r="J1081" s="37">
        <v>40</v>
      </c>
      <c r="K1081" s="238" t="s">
        <v>66</v>
      </c>
      <c r="L1081" s="35">
        <v>9</v>
      </c>
      <c r="M1081" s="162" t="s">
        <v>153</v>
      </c>
      <c r="N1081" s="35" t="s">
        <v>41</v>
      </c>
      <c r="O1081" s="42">
        <v>41883</v>
      </c>
      <c r="P1081" s="44">
        <v>2498</v>
      </c>
      <c r="Q1081" s="44">
        <v>1400</v>
      </c>
      <c r="R1081" s="47" t="str">
        <f>HYPERLINK("http://amzn.to/2v2kiy9","link*")</f>
        <v>link*</v>
      </c>
      <c r="S1081" s="47" t="str">
        <f>HYPERLINK("https://www.bhphotovideo.com/c/product/1082051-REG/sony_selp28135g_e_pz_28_135mm_f_4.html/BI/19619/KBID/12129/DFF/d10-v21-t1-x556056/SID/EZ","link*")</f>
        <v>link*</v>
      </c>
      <c r="T1081" s="47" t="str">
        <f>HYPERLINK("http://amzn.to/2wlpg9b","link*")</f>
        <v>link*</v>
      </c>
      <c r="U1081" s="47"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V1081" s="56" t="s">
        <v>154</v>
      </c>
    </row>
    <row r="1082" spans="1:22" ht="13" hidden="1">
      <c r="A1082" s="157" t="str">
        <f>HYPERLINK("https://phillipreeve.net/blog/review-sigma-35mm-1-2-art-dg-dn/","Sigma Art 1.2/35")</f>
        <v>Sigma Art 1.2/35</v>
      </c>
      <c r="B1082" s="50">
        <v>1090</v>
      </c>
      <c r="C1082" s="68">
        <v>35</v>
      </c>
      <c r="D1082" s="242">
        <v>1.2</v>
      </c>
      <c r="E1082" s="194">
        <v>88</v>
      </c>
      <c r="F1082" s="195">
        <v>136</v>
      </c>
      <c r="G1082" s="59" t="s">
        <v>36</v>
      </c>
      <c r="H1082" s="243" t="s">
        <v>68</v>
      </c>
      <c r="I1082" s="59">
        <v>0.19</v>
      </c>
      <c r="J1082" s="71">
        <v>30</v>
      </c>
      <c r="K1082" s="73" t="s">
        <v>27</v>
      </c>
      <c r="L1082" s="59">
        <v>11</v>
      </c>
      <c r="M1082" s="110">
        <v>43816</v>
      </c>
      <c r="N1082" s="59" t="s">
        <v>47</v>
      </c>
      <c r="O1082" s="83">
        <v>43647</v>
      </c>
      <c r="P1082" s="61">
        <v>1499</v>
      </c>
      <c r="Q1082" s="61" t="s">
        <v>44</v>
      </c>
      <c r="R1082" s="69" t="str">
        <f>HYPERLINK("https://amzn.to/2LiHhxc","link*")</f>
        <v>link*</v>
      </c>
      <c r="S1082" s="69" t="str">
        <f>HYPERLINK("https://www.bhphotovideo.com/c/product/1492967-REG/sigma_341969_35mm_f_1_2_dg_dn.html/BI/19619/KBID/12129/DFF/d10-v21-t1-x976038/SID/EZ","link*")</f>
        <v>link*</v>
      </c>
      <c r="T1082" s="189"/>
      <c r="U1082" s="69"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row>
    <row r="1083" spans="1:22" ht="13" hidden="1">
      <c r="A1083" s="126" t="str">
        <f>HYPERLINK("https://phillipreeve.net/blog/review-sony-fe-35mm-1-4-za/","Sony ZA 1.4/35")</f>
        <v>Sony ZA 1.4/35</v>
      </c>
      <c r="B1083" s="60">
        <v>630</v>
      </c>
      <c r="C1083" s="62">
        <v>35</v>
      </c>
      <c r="D1083" s="64">
        <v>1.4</v>
      </c>
      <c r="E1083" s="194">
        <v>79</v>
      </c>
      <c r="F1083" s="195">
        <v>112</v>
      </c>
      <c r="G1083" s="74" t="s">
        <v>36</v>
      </c>
      <c r="H1083" s="72" t="s">
        <v>64</v>
      </c>
      <c r="I1083" s="74">
        <v>0.18</v>
      </c>
      <c r="J1083" s="84">
        <v>30</v>
      </c>
      <c r="K1083" s="70" t="s">
        <v>27</v>
      </c>
      <c r="L1083" s="74">
        <v>9</v>
      </c>
      <c r="M1083" s="112">
        <v>43689</v>
      </c>
      <c r="N1083" s="74" t="s">
        <v>41</v>
      </c>
      <c r="O1083" s="88">
        <v>42064</v>
      </c>
      <c r="P1083" s="76">
        <v>1599</v>
      </c>
      <c r="Q1083" s="76">
        <v>900</v>
      </c>
      <c r="R1083" s="79" t="str">
        <f>HYPERLINK("https://amzn.to/2LRSMOS","link*")</f>
        <v>link*</v>
      </c>
      <c r="S1083" s="79" t="str">
        <f>HYPERLINK("https://www.bhphotovideo.com/c/product/1126137-REG/sony_sel35f14z_distagon_t_fe_35mm.html/BI/19619/KBID/12129/DFF/d10-v21-t1-x612725/SID/EZ","link*")</f>
        <v>link*</v>
      </c>
      <c r="T1083" s="79" t="str">
        <f>HYPERLINK("https://amzn.to/2ZmfSnX","link*")</f>
        <v>link*</v>
      </c>
      <c r="U1083" s="79" t="e">
        <f>HYPERLINK("http://rover.ebay.com/rover/1/711-53200-19255-0/1?icep_ff3=9&amp;pub=5575076376&amp;toolid=10001&amp;campid=5338573609&amp;customid=&amp;icep_uq=sony+35+1.4+fe-a-mount&amp;icep_sellerId=&amp;icep_ex_kw=&amp;icep_sortBy=12&amp;icep_catId=3323&amp;icep_minPrice=&amp;icep_maxPrice=&amp;ipn=psmain&amp;icep_vec"&amp;"torid=229466&amp;kwid=902099&amp;mtid=824&amp;kw=lg","link*")</f>
        <v>#VALUE!</v>
      </c>
    </row>
    <row r="1084" spans="1:22" ht="13" hidden="1">
      <c r="A1084" s="126" t="str">
        <f>HYPERLINK("https://phillipreeve.net/blog/review-samyang-af-35-1-4-fe/","Samyang 1.4/35")</f>
        <v>Samyang 1.4/35</v>
      </c>
      <c r="B1084" s="60">
        <v>645</v>
      </c>
      <c r="C1084" s="62">
        <v>35</v>
      </c>
      <c r="D1084" s="64">
        <v>1.4</v>
      </c>
      <c r="E1084" s="194">
        <v>76</v>
      </c>
      <c r="F1084" s="176">
        <v>115</v>
      </c>
      <c r="G1084" s="74" t="s">
        <v>36</v>
      </c>
      <c r="H1084" s="72" t="s">
        <v>73</v>
      </c>
      <c r="I1084" s="74">
        <v>0.17</v>
      </c>
      <c r="J1084" s="84">
        <v>30</v>
      </c>
      <c r="K1084" s="70" t="s">
        <v>27</v>
      </c>
      <c r="L1084" s="74">
        <v>9</v>
      </c>
      <c r="M1084" s="112">
        <v>43719</v>
      </c>
      <c r="N1084" s="74" t="s">
        <v>38</v>
      </c>
      <c r="O1084" s="88">
        <v>43009</v>
      </c>
      <c r="P1084" s="76">
        <v>599</v>
      </c>
      <c r="Q1084" s="76">
        <v>400</v>
      </c>
      <c r="R1084" s="79" t="str">
        <f>HYPERLINK("https://amzn.to/2K8DDXH","link*")</f>
        <v>link*</v>
      </c>
      <c r="S1084" s="79" t="str">
        <f>HYPERLINK("https://www.bhphotovideo.com/c/product/1373698-REG/samyang_syio3514_e_35mm_f1_4_auto_focus.html/BI/19619/KBID/12129/DFF/d10-v21-t1-x858016/SID/EZ","link*")</f>
        <v>link*</v>
      </c>
      <c r="T1084" s="79" t="str">
        <f>HYPERLINK("https://amzn.to/2Zhl3FI","link*")</f>
        <v>link*</v>
      </c>
      <c r="U1084" s="79"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V1084" s="77" t="s">
        <v>156</v>
      </c>
    </row>
    <row r="1085" spans="1:22" ht="13">
      <c r="A1085" s="126" t="str">
        <f>HYPERLINK("https://phillipreeve.net/blog/review-voigtlander-35mm-1-4-nokton-e-classic/","Voigtlander 35mm F1.4 Nokton Classic")</f>
        <v>Voigtlander 35mm F1.4 Nokton Classic</v>
      </c>
      <c r="B1085" s="60">
        <v>262</v>
      </c>
      <c r="C1085" s="62">
        <v>35</v>
      </c>
      <c r="D1085" s="64">
        <v>1.4</v>
      </c>
      <c r="E1085" s="194">
        <v>67</v>
      </c>
      <c r="F1085" s="176">
        <v>40</v>
      </c>
      <c r="G1085" s="74" t="s">
        <v>25</v>
      </c>
      <c r="H1085" s="72" t="s">
        <v>71</v>
      </c>
      <c r="I1085" s="74">
        <v>0.16</v>
      </c>
      <c r="J1085" s="84">
        <v>30</v>
      </c>
      <c r="K1085" s="70" t="s">
        <v>27</v>
      </c>
      <c r="L1085" s="74">
        <v>10</v>
      </c>
      <c r="M1085" s="112">
        <v>43624</v>
      </c>
      <c r="N1085" s="74" t="s">
        <v>29</v>
      </c>
      <c r="O1085" s="88">
        <v>43132</v>
      </c>
      <c r="P1085" s="76">
        <v>799</v>
      </c>
      <c r="Q1085" s="76">
        <v>450</v>
      </c>
      <c r="R1085" s="79" t="str">
        <f>HYPERLINK("https://amzn.to/2M1M8WH","link*")</f>
        <v>link*</v>
      </c>
      <c r="S1085" s="79" t="str">
        <f>HYPERLINK("https://www.bhphotovideo.com/c/product/1381712-REG/voigtlander_nokton_classic_35mm_f_1_4.html/BI/19619/KBID/12129/DFF/d10-v21-t1-x877353/SID/EZ","link*")</f>
        <v>link*</v>
      </c>
      <c r="T1085" s="79" t="str">
        <f>HYPERLINK("https://amzn.to/2ZswTZ3","link*")</f>
        <v>link*</v>
      </c>
      <c r="U1085" s="79"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row>
    <row r="1086" spans="1:22" ht="13" hidden="1">
      <c r="A1086" s="126" t="str">
        <f>HYPERLINK("https://phillipreeve.net/blog/review-sigma-35mm-1-4-art/","Sigma Art 1.4/35")</f>
        <v>Sigma Art 1.4/35</v>
      </c>
      <c r="B1086" s="60">
        <v>740</v>
      </c>
      <c r="C1086" s="62">
        <v>35</v>
      </c>
      <c r="D1086" s="64">
        <v>1.4</v>
      </c>
      <c r="E1086" s="194">
        <v>77</v>
      </c>
      <c r="F1086" s="200">
        <v>121</v>
      </c>
      <c r="G1086" s="74" t="s">
        <v>36</v>
      </c>
      <c r="H1086" s="72" t="s">
        <v>73</v>
      </c>
      <c r="I1086" s="74">
        <v>0.19</v>
      </c>
      <c r="J1086" s="84">
        <v>30</v>
      </c>
      <c r="K1086" s="70" t="s">
        <v>27</v>
      </c>
      <c r="L1086" s="74">
        <v>9</v>
      </c>
      <c r="M1086" s="112">
        <v>43782</v>
      </c>
      <c r="N1086" s="74" t="s">
        <v>47</v>
      </c>
      <c r="O1086" s="88">
        <v>43221</v>
      </c>
      <c r="P1086" s="156">
        <v>899</v>
      </c>
      <c r="Q1086" s="156">
        <v>600</v>
      </c>
      <c r="R1086" s="79" t="str">
        <f>HYPERLINK("https://amzn.to/2LOaQcZ","link*")</f>
        <v>link*</v>
      </c>
      <c r="S1086" s="79" t="str">
        <f>HYPERLINK("https://www.bhphotovideo.com/c/product/1393492-REG/sigma_35mm_f_1_4_dg_hsm.html/BI/19619/KBID/12129/DFF/d10-v21-t1-x881157/SID/EZ","link*")</f>
        <v>link*</v>
      </c>
      <c r="T1086" s="79" t="str">
        <f>HYPERLINK("https://amzn.to/2ZrfakE","link*")</f>
        <v>link*</v>
      </c>
      <c r="U1086" s="79"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V1086" s="77" t="s">
        <v>48</v>
      </c>
    </row>
    <row r="1087" spans="1:22" ht="13" hidden="1">
      <c r="A1087" s="126" t="str">
        <f>HYPERLINK("https://phillipreeve.net/blog/review-sony-fe-35mm-f1-8/","Sony FE 1.8/35")</f>
        <v>Sony FE 1.8/35</v>
      </c>
      <c r="B1087" s="60">
        <v>280</v>
      </c>
      <c r="C1087" s="62">
        <v>35</v>
      </c>
      <c r="D1087" s="64">
        <v>1.8</v>
      </c>
      <c r="E1087" s="194">
        <v>66</v>
      </c>
      <c r="F1087" s="176">
        <v>73</v>
      </c>
      <c r="G1087" s="74" t="s">
        <v>36</v>
      </c>
      <c r="H1087" s="72" t="s">
        <v>147</v>
      </c>
      <c r="I1087" s="239">
        <v>0.24</v>
      </c>
      <c r="J1087" s="84">
        <v>22</v>
      </c>
      <c r="K1087" s="70" t="s">
        <v>27</v>
      </c>
      <c r="L1087" s="74">
        <v>9</v>
      </c>
      <c r="M1087" s="112">
        <v>43719</v>
      </c>
      <c r="N1087" s="74" t="s">
        <v>41</v>
      </c>
      <c r="O1087" s="88">
        <v>43647</v>
      </c>
      <c r="P1087" s="76">
        <v>749</v>
      </c>
      <c r="Q1087" s="76">
        <v>600</v>
      </c>
      <c r="R1087" s="79" t="str">
        <f>HYPERLINK("https://amzn.to/31HFLMg","link*")</f>
        <v>link*</v>
      </c>
      <c r="S1087" s="79" t="str">
        <f>HYPERLINK("https://www.bhphotovideo.com/c/product/1492866-REG/sony_sel35f18f_35mm_f_1_8_fe_lens.html/BI/19619/KBID/12129/DFF/d10-v21-t1-x975763/SID/EZ","link*")</f>
        <v>link*</v>
      </c>
      <c r="T1087" s="79" t="str">
        <f>HYPERLINK("https://amzn.to/2PiATLC","link*")</f>
        <v>link*</v>
      </c>
      <c r="U1087" s="79"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row>
    <row r="1088" spans="1:22" ht="13">
      <c r="A1088" s="126" t="str">
        <f>HYPERLINK("https://phillipreeve.net/blog/review-zeiss-loxia-35mm-2-0/","Zeiss Loxia 2/35 Biogon T*")</f>
        <v>Zeiss Loxia 2/35 Biogon T*</v>
      </c>
      <c r="B1088" s="60">
        <v>340</v>
      </c>
      <c r="C1088" s="62">
        <v>35</v>
      </c>
      <c r="D1088" s="64">
        <v>2</v>
      </c>
      <c r="E1088" s="194">
        <v>62</v>
      </c>
      <c r="F1088" s="195">
        <v>66</v>
      </c>
      <c r="G1088" s="74" t="s">
        <v>25</v>
      </c>
      <c r="H1088" s="72" t="s">
        <v>131</v>
      </c>
      <c r="I1088" s="74">
        <v>0.17</v>
      </c>
      <c r="J1088" s="84">
        <v>30</v>
      </c>
      <c r="K1088" s="70" t="s">
        <v>27</v>
      </c>
      <c r="L1088" s="74">
        <v>10</v>
      </c>
      <c r="M1088" s="112">
        <v>43625</v>
      </c>
      <c r="N1088" s="74" t="s">
        <v>87</v>
      </c>
      <c r="O1088" s="88">
        <v>41974</v>
      </c>
      <c r="P1088" s="76">
        <v>1299</v>
      </c>
      <c r="Q1088" s="76">
        <v>630</v>
      </c>
      <c r="R1088" s="79" t="str">
        <f>HYPERLINK("https://amzn.to/2T2sJWe","link*")</f>
        <v>link*</v>
      </c>
      <c r="S1088" s="79" t="str">
        <f>HYPERLINK("https://www.bhphotovideo.com/c/product/1080388-REG/zeiss_2103_749_loxia_35mm_f_2_biogon.html/BI/19619/KBID/12129/DFF/d10-v21-t1-x553792/SID/EZ","link*")</f>
        <v>link*</v>
      </c>
      <c r="T1088" s="113" t="s">
        <v>51</v>
      </c>
      <c r="U1088" s="79"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V1088" s="77" t="s">
        <v>166</v>
      </c>
    </row>
    <row r="1089" spans="1:22" ht="13" hidden="1">
      <c r="A1089" s="126" t="str">
        <f>HYPERLINK("http://www.photozone.de/sonyalphaff/865-zeiss35f28ff","Sony ZA 2.8/35")</f>
        <v>Sony ZA 2.8/35</v>
      </c>
      <c r="B1089" s="60">
        <v>120</v>
      </c>
      <c r="C1089" s="62">
        <v>35</v>
      </c>
      <c r="D1089" s="64">
        <v>2.8</v>
      </c>
      <c r="E1089" s="194">
        <v>62</v>
      </c>
      <c r="F1089" s="195">
        <v>37</v>
      </c>
      <c r="G1089" s="74" t="s">
        <v>36</v>
      </c>
      <c r="H1089" s="72" t="s">
        <v>124</v>
      </c>
      <c r="I1089" s="74">
        <v>0.12</v>
      </c>
      <c r="J1089" s="84">
        <v>35</v>
      </c>
      <c r="K1089" s="70" t="s">
        <v>27</v>
      </c>
      <c r="L1089" s="74">
        <v>9</v>
      </c>
      <c r="M1089" s="112">
        <v>43592</v>
      </c>
      <c r="N1089" s="74" t="s">
        <v>41</v>
      </c>
      <c r="O1089" s="88">
        <v>41487</v>
      </c>
      <c r="P1089" s="76">
        <v>798</v>
      </c>
      <c r="Q1089" s="76">
        <v>410</v>
      </c>
      <c r="R1089" s="79" t="str">
        <f>HYPERLINK("https://amzn.to/2yvhL24","link*")</f>
        <v>link*</v>
      </c>
      <c r="S1089" s="79" t="str">
        <f>HYPERLINK("https://www.bhphotovideo.com/c/product/1008123-REG/sony_sel35f28z_sonnar_t_fe_35mm.html/BI/19619/KBID/12129/DFF/d10-v21-t1-x466840/SID/EZ","link*")</f>
        <v>link*</v>
      </c>
      <c r="T1089" s="113" t="s">
        <v>51</v>
      </c>
      <c r="U1089" s="79"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row>
    <row r="1090" spans="1:22" ht="13" hidden="1">
      <c r="A1090" s="321" t="s">
        <v>209</v>
      </c>
      <c r="B1090" s="249">
        <v>210</v>
      </c>
      <c r="C1090" s="250">
        <v>35</v>
      </c>
      <c r="D1090" s="251">
        <v>2.8</v>
      </c>
      <c r="E1090" s="252">
        <v>73</v>
      </c>
      <c r="F1090" s="253">
        <v>64</v>
      </c>
      <c r="G1090" s="254" t="s">
        <v>36</v>
      </c>
      <c r="H1090" s="255" t="s">
        <v>73</v>
      </c>
      <c r="I1090" s="256">
        <v>0.5</v>
      </c>
      <c r="J1090" s="257">
        <v>15</v>
      </c>
      <c r="K1090" s="254" t="s">
        <v>27</v>
      </c>
      <c r="L1090" s="258">
        <v>7</v>
      </c>
      <c r="M1090" s="259" t="s">
        <v>91</v>
      </c>
      <c r="N1090" s="260" t="s">
        <v>78</v>
      </c>
      <c r="O1090" s="88">
        <v>43796</v>
      </c>
      <c r="P1090" s="261">
        <v>349</v>
      </c>
      <c r="Q1090" s="262" t="s">
        <v>44</v>
      </c>
      <c r="R1090" s="79" t="str">
        <f>HYPERLINK("https://amzn.to/2LUF8sR","link*")</f>
        <v>link*</v>
      </c>
      <c r="S1090" s="79" t="str">
        <f>HYPERLINK("https://www.bhphotovideo.com/c/product/1512043-REG/tamron_f035_35mm_f_2_8_di_iii.html/BI/19619/KBID/12129/DFF/d10-v21-t1-x994972/SID/EZ","link*")</f>
        <v>link*</v>
      </c>
      <c r="T1090" s="79" t="str">
        <f>HYPERLINK("https://amzn.to/36BcBQO","link*")</f>
        <v>link*</v>
      </c>
      <c r="U1090" s="79" t="e">
        <f>HYPERLINK("http://rover.ebay.com/rover/1/711-53200-19255-0/1?icep_ff3=9&amp;pub=5575076376&amp;toolid=10001&amp;campid=5338573609&amp;customid=&amp;icep_uq=tamron+35+2.8+osd+&amp;icep_sellerId=&amp;icep_ex_kw=&amp;icep_sortBy=12&amp;icep_catId=3323&amp;icep_minPrice=&amp;icep_maxPrice=&amp;ipn=psmain&amp;icep_vectori"&amp;"d=229466&amp;kwid=902099&amp;mtid=824&amp;kw=lg","link*")</f>
        <v>#VALUE!</v>
      </c>
    </row>
    <row r="1091" spans="1:22" ht="13" hidden="1">
      <c r="A1091" s="120" t="s">
        <v>158</v>
      </c>
      <c r="B1091" s="21">
        <v>86</v>
      </c>
      <c r="C1091" s="23">
        <v>35</v>
      </c>
      <c r="D1091" s="25">
        <v>2.8</v>
      </c>
      <c r="E1091" s="221">
        <v>62</v>
      </c>
      <c r="F1091" s="237">
        <v>33</v>
      </c>
      <c r="G1091" s="35" t="s">
        <v>36</v>
      </c>
      <c r="H1091" s="33" t="s">
        <v>124</v>
      </c>
      <c r="I1091" s="35">
        <v>0.12</v>
      </c>
      <c r="J1091" s="37">
        <v>35</v>
      </c>
      <c r="K1091" s="39" t="s">
        <v>27</v>
      </c>
      <c r="L1091" s="35">
        <v>9</v>
      </c>
      <c r="M1091" s="124">
        <v>43623</v>
      </c>
      <c r="N1091" s="35" t="s">
        <v>38</v>
      </c>
      <c r="O1091" s="42">
        <v>42917</v>
      </c>
      <c r="P1091" s="264">
        <v>399</v>
      </c>
      <c r="Q1091" s="264">
        <v>210</v>
      </c>
      <c r="R1091" s="47" t="str">
        <f>HYPERLINK("https://amzn.to/2MGKrxp","link*")</f>
        <v>link*</v>
      </c>
      <c r="S1091" s="47" t="str">
        <f>HYPERLINK("https://www.bhphotovideo.com/c/product/1348365-REG/samyang_syio35af_e_35mm_f2_8_compact_wide.html/BI/19619/KBID/12129/DFF/d10-v21-t1-x832776/SID/EZ","link*")</f>
        <v>link*</v>
      </c>
      <c r="T1091" s="47" t="str">
        <f>HYPERLINK("https://amzn.to/2rM4SRk","link*")</f>
        <v>link*</v>
      </c>
      <c r="U1091" s="47"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V1091" s="130"/>
    </row>
    <row r="1092" spans="1:22" ht="13">
      <c r="A1092" s="157" t="str">
        <f>HYPERLINK("https://phillipreeve.net/blog/voigtlander-40mm-f1-2-nokton-aspherical-rolling-review/","Voigtlander 40mm F1.2 Nokton")</f>
        <v>Voigtlander 40mm F1.2 Nokton</v>
      </c>
      <c r="B1092" s="50">
        <v>420</v>
      </c>
      <c r="C1092" s="68">
        <v>40</v>
      </c>
      <c r="D1092" s="265">
        <v>1.2</v>
      </c>
      <c r="E1092" s="194">
        <v>70</v>
      </c>
      <c r="F1092" s="195">
        <v>59</v>
      </c>
      <c r="G1092" s="59" t="s">
        <v>25</v>
      </c>
      <c r="H1092" s="57" t="s">
        <v>71</v>
      </c>
      <c r="I1092" s="59">
        <v>0.16</v>
      </c>
      <c r="J1092" s="71">
        <v>35</v>
      </c>
      <c r="K1092" s="73" t="s">
        <v>27</v>
      </c>
      <c r="L1092" s="59">
        <v>10</v>
      </c>
      <c r="M1092" s="110">
        <v>43624</v>
      </c>
      <c r="N1092" s="59" t="s">
        <v>29</v>
      </c>
      <c r="O1092" s="83">
        <v>43040</v>
      </c>
      <c r="P1092" s="61">
        <v>1099</v>
      </c>
      <c r="Q1092" s="61">
        <v>780</v>
      </c>
      <c r="R1092" s="69" t="str">
        <f>HYPERLINK("https://amzn.to/2A412DK","link*")</f>
        <v>link*</v>
      </c>
      <c r="S1092" s="69" t="str">
        <f>HYPERLINK("https://www.bhphotovideo.com/c/product/1362557-REG/voigtlander_nokton_40mm_f_1_2_aspherical.html/BI/19619/KBID/12129/DFF/d10-v21-t1-x851241/SID/EZ","link*")</f>
        <v>link*</v>
      </c>
      <c r="T1092" s="189" t="s">
        <v>51</v>
      </c>
      <c r="U1092" s="69"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row>
    <row r="1093" spans="1:22" ht="13" hidden="1">
      <c r="A1093" s="126" t="str">
        <f>HYPERLINK("https://phillipreeve.net/blog/review-sigma-40mm-1-4-art/","Sigma Art 1.4/40")</f>
        <v>Sigma Art 1.4/40</v>
      </c>
      <c r="B1093" s="60">
        <v>1265</v>
      </c>
      <c r="C1093" s="62">
        <v>40</v>
      </c>
      <c r="D1093" s="64">
        <v>1.4</v>
      </c>
      <c r="E1093" s="194">
        <v>88</v>
      </c>
      <c r="F1093" s="176">
        <v>157</v>
      </c>
      <c r="G1093" s="74" t="s">
        <v>36</v>
      </c>
      <c r="H1093" s="244" t="s">
        <v>68</v>
      </c>
      <c r="I1093" s="74">
        <v>0.15</v>
      </c>
      <c r="J1093" s="84">
        <v>40</v>
      </c>
      <c r="K1093" s="70" t="s">
        <v>27</v>
      </c>
      <c r="L1093" s="74">
        <v>9</v>
      </c>
      <c r="M1093" s="112">
        <v>43815</v>
      </c>
      <c r="N1093" s="74" t="s">
        <v>47</v>
      </c>
      <c r="O1093" s="88">
        <v>43435</v>
      </c>
      <c r="P1093" s="76">
        <v>1399</v>
      </c>
      <c r="Q1093" s="76" t="s">
        <v>44</v>
      </c>
      <c r="R1093" s="79" t="str">
        <f>HYPERLINK("https://amzn.to/2SYXFXq","link*")</f>
        <v>link*</v>
      </c>
      <c r="S1093" s="79" t="str">
        <f>HYPERLINK("https://www.bhphotovideo.com/c/product/1436292-REG/sigma_40mm_f_1_4_dg_hsm.html/BI/19619/KBID/12129/DFF/d10-v21-t1-x925196/SID/EZ","link*")</f>
        <v>link*</v>
      </c>
      <c r="T1093" s="113" t="s">
        <v>51</v>
      </c>
      <c r="U1093" s="79"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V1093" s="77" t="s">
        <v>48</v>
      </c>
    </row>
    <row r="1094" spans="1:22" ht="13" hidden="1">
      <c r="A1094" s="19" t="str">
        <f>HYPERLINK("https://phillipreeve.net/blog/review-zeiss-batis-2-40-cf/","Zeiss Batis 2/40 CF T*")</f>
        <v>Zeiss Batis 2/40 CF T*</v>
      </c>
      <c r="B1094" s="21">
        <v>361</v>
      </c>
      <c r="C1094" s="23">
        <v>40</v>
      </c>
      <c r="D1094" s="25">
        <v>2</v>
      </c>
      <c r="E1094" s="221">
        <v>91</v>
      </c>
      <c r="F1094" s="193">
        <v>93</v>
      </c>
      <c r="G1094" s="35" t="s">
        <v>36</v>
      </c>
      <c r="H1094" s="33" t="s">
        <v>73</v>
      </c>
      <c r="I1094" s="266">
        <v>0.3</v>
      </c>
      <c r="J1094" s="37">
        <v>24</v>
      </c>
      <c r="K1094" s="39" t="s">
        <v>27</v>
      </c>
      <c r="L1094" s="35">
        <v>9</v>
      </c>
      <c r="M1094" s="124">
        <v>43686</v>
      </c>
      <c r="N1094" s="35" t="s">
        <v>87</v>
      </c>
      <c r="O1094" s="42">
        <v>43435</v>
      </c>
      <c r="P1094" s="44">
        <v>1299</v>
      </c>
      <c r="Q1094" s="44">
        <v>950</v>
      </c>
      <c r="R1094" s="47" t="str">
        <f>HYPERLINK("https://amzn.to/2LUN0MF","link*")</f>
        <v>link*</v>
      </c>
      <c r="S1094" s="47" t="str">
        <f>HYPERLINK("https://www.bhphotovideo.com/c/product/1436738-REG/zeiss_000000_2239_137_batis_40mm_f_2_cf.html/BI/19619/KBID/12129/DFF/d10-v21-t1-x915694/SID/EZ","link*")</f>
        <v>link*</v>
      </c>
      <c r="T1094" s="97" t="s">
        <v>51</v>
      </c>
      <c r="U1094" s="47"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V1094" s="56" t="s">
        <v>172</v>
      </c>
    </row>
    <row r="1095" spans="1:22" ht="13" hidden="1">
      <c r="A1095" s="66" t="s">
        <v>160</v>
      </c>
      <c r="B1095" s="50">
        <v>162</v>
      </c>
      <c r="C1095" s="68">
        <v>45</v>
      </c>
      <c r="D1095" s="52">
        <v>1.8</v>
      </c>
      <c r="E1095" s="194">
        <v>62</v>
      </c>
      <c r="F1095" s="176">
        <v>56</v>
      </c>
      <c r="G1095" s="59" t="s">
        <v>36</v>
      </c>
      <c r="H1095" s="57" t="s">
        <v>124</v>
      </c>
      <c r="I1095" s="59">
        <v>0.12</v>
      </c>
      <c r="J1095" s="71">
        <v>45</v>
      </c>
      <c r="K1095" s="73" t="s">
        <v>27</v>
      </c>
      <c r="L1095" s="59">
        <v>9</v>
      </c>
      <c r="M1095" s="110">
        <v>43623</v>
      </c>
      <c r="N1095" s="59" t="s">
        <v>38</v>
      </c>
      <c r="O1095" s="83">
        <v>43647</v>
      </c>
      <c r="P1095" s="267">
        <v>399</v>
      </c>
      <c r="Q1095" s="267">
        <v>300</v>
      </c>
      <c r="R1095" s="69" t="str">
        <f>HYPERLINK("https://amzn.to/2YC6MST","link*")</f>
        <v>link*</v>
      </c>
      <c r="S1095" s="69" t="str">
        <f>HYPERLINK("https://www.bhphotovideo.com/c/product/1478738-REG/samyang_af_45mm_f_1_8_fe.html/BI/19619/KBID/12129/DFF/d10-v21-t1-x964329/SID/EZ","link*")</f>
        <v>link*</v>
      </c>
      <c r="T1095" s="189" t="s">
        <v>51</v>
      </c>
      <c r="U1095" s="69"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row>
    <row r="1096" spans="1:22" ht="13" hidden="1">
      <c r="A1096" s="120" t="s">
        <v>161</v>
      </c>
      <c r="B1096" s="21">
        <v>215</v>
      </c>
      <c r="C1096" s="23">
        <v>45</v>
      </c>
      <c r="D1096" s="25">
        <v>2.8</v>
      </c>
      <c r="E1096" s="221">
        <v>64</v>
      </c>
      <c r="F1096" s="237">
        <v>46</v>
      </c>
      <c r="G1096" s="35" t="s">
        <v>36</v>
      </c>
      <c r="H1096" s="33" t="s">
        <v>147</v>
      </c>
      <c r="I1096" s="268">
        <v>0.25</v>
      </c>
      <c r="J1096" s="37">
        <v>24</v>
      </c>
      <c r="K1096" s="39" t="s">
        <v>27</v>
      </c>
      <c r="L1096" s="35">
        <v>7</v>
      </c>
      <c r="M1096" s="124">
        <v>43654</v>
      </c>
      <c r="N1096" s="35" t="s">
        <v>47</v>
      </c>
      <c r="O1096" s="42">
        <v>43647</v>
      </c>
      <c r="P1096" s="44">
        <v>549</v>
      </c>
      <c r="Q1096" s="44" t="s">
        <v>44</v>
      </c>
      <c r="R1096" s="47" t="str">
        <f>HYPERLINK("https://amzn.to/2SYEvAX","link*")</f>
        <v>link*</v>
      </c>
      <c r="S1096" s="47" t="str">
        <f>HYPERLINK("https://www.bhphotovideo.com/c/product/1492966-REG/sigma_360965_45mm_f_2_8_dg_dn.html/BI/19619/KBID/12129/DFF/d10-v21-t1-x976020/SID/EZ","link*")</f>
        <v>link*</v>
      </c>
      <c r="T1096" s="97" t="s">
        <v>51</v>
      </c>
      <c r="U1096" s="47"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V1096" s="56" t="s">
        <v>162</v>
      </c>
    </row>
    <row r="1097" spans="1:22" ht="13">
      <c r="A1097" s="157" t="str">
        <f>HYPERLINK("https://phillipreeve.net/blog/review-voigtlander-50mm-1-2-nokton-e/","Voigtlander 50mm F1.2 Nokton")</f>
        <v>Voigtlander 50mm F1.2 Nokton</v>
      </c>
      <c r="B1097" s="50">
        <v>440</v>
      </c>
      <c r="C1097" s="68">
        <v>50</v>
      </c>
      <c r="D1097" s="265">
        <v>1.2</v>
      </c>
      <c r="E1097" s="194">
        <v>70</v>
      </c>
      <c r="F1097" s="195">
        <v>58</v>
      </c>
      <c r="G1097" s="59" t="s">
        <v>25</v>
      </c>
      <c r="H1097" s="57" t="s">
        <v>71</v>
      </c>
      <c r="I1097" s="59">
        <v>0.15</v>
      </c>
      <c r="J1097" s="71">
        <v>45</v>
      </c>
      <c r="K1097" s="73" t="s">
        <v>27</v>
      </c>
      <c r="L1097" s="59">
        <v>12</v>
      </c>
      <c r="M1097" s="110">
        <v>43624</v>
      </c>
      <c r="N1097" s="59" t="s">
        <v>29</v>
      </c>
      <c r="O1097" s="83">
        <v>43556</v>
      </c>
      <c r="P1097" s="61">
        <v>1099</v>
      </c>
      <c r="Q1097" s="61" t="s">
        <v>44</v>
      </c>
      <c r="R1097" s="69" t="str">
        <f>HYPERLINK("https://amzn.to/2OAfE7N","link*")</f>
        <v>link*</v>
      </c>
      <c r="S1097" s="69" t="str">
        <f>HYPERLINK("https://www.bhphotovideo.com/c/product/1433349-REG/voigtlander_ba348a_nokton_50mm_f_1_2_aspherical.html/BI/19619/KBID/12129/DFF/d10-v21-t1-x915623/SID/EZ","link*")</f>
        <v>link*</v>
      </c>
      <c r="T1097" s="189" t="s">
        <v>51</v>
      </c>
      <c r="U1097" s="69" t="e">
        <f>HYPERLINK("http://rover.ebay.com/rover/1/711-53200-19255-0/1?icep_ff3=9&amp;pub=5575076376&amp;toolid=10001&amp;campid=5338164340&amp;customid=&amp;icep_uq=voigtlander+sony+50+1.2&amp;icep_sellerId=&amp;icep_ex_kw=&amp;icep_sortBy=12&amp;icep_catId=3323&amp;icep_minPrice=&amp;icep_maxPrice=&amp;ipn=psmain&amp;icep_ve"&amp;"ctorid=229466&amp;kwid=902099&amp;mtid=824&amp;kw=lg","link*")</f>
        <v>#VALUE!</v>
      </c>
    </row>
    <row r="1098" spans="1:22" ht="13" hidden="1">
      <c r="A1098" s="58" t="s">
        <v>163</v>
      </c>
      <c r="B1098" s="60">
        <v>778</v>
      </c>
      <c r="C1098" s="62">
        <v>50</v>
      </c>
      <c r="D1098" s="64">
        <v>1.4</v>
      </c>
      <c r="E1098" s="194">
        <v>84</v>
      </c>
      <c r="F1098" s="195">
        <v>108</v>
      </c>
      <c r="G1098" s="74" t="s">
        <v>36</v>
      </c>
      <c r="H1098" s="72" t="s">
        <v>64</v>
      </c>
      <c r="I1098" s="74">
        <v>0.15</v>
      </c>
      <c r="J1098" s="84">
        <v>45</v>
      </c>
      <c r="K1098" s="70" t="s">
        <v>27</v>
      </c>
      <c r="L1098" s="74">
        <v>11</v>
      </c>
      <c r="M1098" s="112">
        <v>43720</v>
      </c>
      <c r="N1098" s="74" t="s">
        <v>41</v>
      </c>
      <c r="O1098" s="88">
        <v>42583</v>
      </c>
      <c r="P1098" s="76">
        <v>1499</v>
      </c>
      <c r="Q1098" s="76">
        <v>1000</v>
      </c>
      <c r="R1098" s="79" t="str">
        <f>HYPERLINK("https://amzn.to/2K88EL7","link*")</f>
        <v>link*</v>
      </c>
      <c r="S1098" s="79" t="str">
        <f>HYPERLINK("https://www.bhphotovideo.com/c/product/1264965-REG/sony_sel50f14z_planar_t_fe_50mm.html/BI/19619/KBID/12129/DFF/d10-v21-t1-x746806/SID/EZ","link*")</f>
        <v>link*</v>
      </c>
      <c r="T1098" s="113" t="s">
        <v>51</v>
      </c>
      <c r="U1098" s="79"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row>
    <row r="1099" spans="1:22" ht="13" hidden="1">
      <c r="A1099" s="58" t="s">
        <v>164</v>
      </c>
      <c r="B1099" s="60">
        <v>910</v>
      </c>
      <c r="C1099" s="62">
        <v>50</v>
      </c>
      <c r="D1099" s="64">
        <v>1.4</v>
      </c>
      <c r="E1099" s="194">
        <v>85</v>
      </c>
      <c r="F1099" s="232">
        <v>125.9</v>
      </c>
      <c r="G1099" s="74" t="s">
        <v>36</v>
      </c>
      <c r="H1099" s="72" t="s">
        <v>80</v>
      </c>
      <c r="I1099" s="74">
        <v>0.18</v>
      </c>
      <c r="J1099" s="84">
        <v>40</v>
      </c>
      <c r="K1099" s="70" t="s">
        <v>27</v>
      </c>
      <c r="L1099" s="74">
        <v>9</v>
      </c>
      <c r="M1099" s="112">
        <v>43690</v>
      </c>
      <c r="N1099" s="74" t="s">
        <v>47</v>
      </c>
      <c r="O1099" s="88">
        <v>43221</v>
      </c>
      <c r="P1099" s="76">
        <v>949</v>
      </c>
      <c r="Q1099" s="76">
        <v>650</v>
      </c>
      <c r="R1099" s="79" t="str">
        <f>HYPERLINK("https://amzn.to/2K4JmyT","link*")</f>
        <v>link*</v>
      </c>
      <c r="S1099" s="79" t="str">
        <f>HYPERLINK("https://www.bhphotovideo.com/c/product/1393493-REG/sigma_50mm_f_1_4_dg_hsm.html/BI/19619/KBID/12129/kw/SI5014SO/DFF/d10-v2-t1-xSI5014SO","link*")</f>
        <v>link*</v>
      </c>
      <c r="T1099" s="79" t="str">
        <f>HYPERLINK("https://amzn.to/2Wpdoz5","link*")</f>
        <v>link*</v>
      </c>
      <c r="U1099" s="79" t="e">
        <f>HYPERLINK("http://rover.ebay.com/rover/1/711-53200-19255-0/1?icep_ff3=9&amp;pub=5575076376&amp;toolid=10001&amp;campid=5338164340&amp;customid=&amp;icep_uq=sigma+sony+art+50+1.4&amp;icep_sellerId=&amp;icep_ex_kw=&amp;icep_sortBy=12&amp;icep_catId=3323&amp;icep_minPrice=&amp;icep_maxPrice=&amp;ipn=psmain&amp;icep_vect"&amp;"orid=229466&amp;kwid=902099&amp;mtid=824&amp;kw=lg","link*")</f>
        <v>#VALUE!</v>
      </c>
      <c r="V1099" s="77" t="s">
        <v>48</v>
      </c>
    </row>
    <row r="1100" spans="1:22" ht="13" hidden="1">
      <c r="A1100" s="58" t="s">
        <v>165</v>
      </c>
      <c r="B1100" s="60">
        <v>585</v>
      </c>
      <c r="C1100" s="62">
        <v>50</v>
      </c>
      <c r="D1100" s="64">
        <v>1.4</v>
      </c>
      <c r="E1100" s="194">
        <v>74</v>
      </c>
      <c r="F1100" s="195">
        <v>98</v>
      </c>
      <c r="G1100" s="74" t="s">
        <v>36</v>
      </c>
      <c r="H1100" s="72" t="s">
        <v>73</v>
      </c>
      <c r="I1100" s="74">
        <v>0.15</v>
      </c>
      <c r="J1100" s="84">
        <v>45</v>
      </c>
      <c r="K1100" s="70" t="s">
        <v>27</v>
      </c>
      <c r="L1100" s="74">
        <v>9</v>
      </c>
      <c r="M1100" s="112">
        <v>43686</v>
      </c>
      <c r="N1100" s="74" t="s">
        <v>38</v>
      </c>
      <c r="O1100" s="88">
        <v>42583</v>
      </c>
      <c r="P1100" s="76">
        <v>699</v>
      </c>
      <c r="Q1100" s="76">
        <v>365</v>
      </c>
      <c r="R1100" s="79" t="str">
        <f>HYPERLINK("https://amzn.to/2SY1Pyr","link*")</f>
        <v>link*</v>
      </c>
      <c r="S1100" s="79" t="str">
        <f>HYPERLINK("https://www.bhphotovideo.com/c/product/1352862-REG/samyang_syio50af_e_50mm_f_1_4_auto_focus.html/BI/19619/KBID/12129/DFF/d10-v21-t1-x837927/SID/EZ","link*")</f>
        <v>link*</v>
      </c>
      <c r="T1100" s="113" t="s">
        <v>51</v>
      </c>
      <c r="U1100" s="79"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row>
    <row r="1101" spans="1:22" ht="13" hidden="1">
      <c r="A1101" s="126" t="str">
        <f>HYPERLINK("https://phillipreeve.net/blog/review-sony-fe-1-850/","Sony 50mm F1.8")</f>
        <v>Sony 50mm F1.8</v>
      </c>
      <c r="B1101" s="60">
        <v>186</v>
      </c>
      <c r="C1101" s="62">
        <v>50</v>
      </c>
      <c r="D1101" s="64">
        <v>1.8</v>
      </c>
      <c r="E1101" s="194">
        <v>69</v>
      </c>
      <c r="F1101" s="195">
        <v>60</v>
      </c>
      <c r="G1101" s="74" t="s">
        <v>36</v>
      </c>
      <c r="H1101" s="72" t="s">
        <v>124</v>
      </c>
      <c r="I1101" s="74">
        <v>0.14000000000000001</v>
      </c>
      <c r="J1101" s="84">
        <v>45</v>
      </c>
      <c r="K1101" s="70" t="s">
        <v>27</v>
      </c>
      <c r="L1101" s="74">
        <v>7</v>
      </c>
      <c r="M1101" s="112">
        <v>43591</v>
      </c>
      <c r="N1101" s="74" t="s">
        <v>41</v>
      </c>
      <c r="O1101" s="88">
        <v>42430</v>
      </c>
      <c r="P1101" s="156">
        <v>249</v>
      </c>
      <c r="Q1101" s="156">
        <v>165</v>
      </c>
      <c r="R1101" s="79" t="str">
        <f>HYPERLINK("http://amzn.to/2v2F5Se","link*")</f>
        <v>link*</v>
      </c>
      <c r="S1101" s="79" t="str">
        <f>HYPERLINK("https://www.bhphotovideo.com/c/product/1242613-REG/sony_sel50f18f_fe_50mm_f_1_8_lens.html/BI/19619/KBID/12129/kw/SO5018F/DFF/d10-v2-t1-xSO5018F","link*")</f>
        <v>link*</v>
      </c>
      <c r="T1101" s="79" t="str">
        <f>HYPERLINK("http://amzn.to/2wyHB25","link*")</f>
        <v>link*</v>
      </c>
      <c r="U1101"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row>
    <row r="1102" spans="1:22" ht="13">
      <c r="A1102" s="126" t="str">
        <f>HYPERLINK("https://docs.google.com/document/d/115s6JHR9S4pBUesKJEkgWeoP8rcGbT31p6fQSg5SFQM/edit?usp=sharing","Voigtlander 50mm F2 APO-Lanthar")</f>
        <v>Voigtlander 50mm F2 APO-Lanthar</v>
      </c>
      <c r="B1102" s="60">
        <v>364</v>
      </c>
      <c r="C1102" s="62">
        <v>50</v>
      </c>
      <c r="D1102" s="64">
        <v>2</v>
      </c>
      <c r="E1102" s="199">
        <v>63</v>
      </c>
      <c r="F1102" s="232">
        <v>61</v>
      </c>
      <c r="G1102" s="74" t="s">
        <v>25</v>
      </c>
      <c r="H1102" s="72" t="s">
        <v>124</v>
      </c>
      <c r="I1102" s="74">
        <v>0.156</v>
      </c>
      <c r="J1102" s="84">
        <v>45</v>
      </c>
      <c r="K1102" s="70" t="s">
        <v>27</v>
      </c>
      <c r="L1102" s="74">
        <v>12</v>
      </c>
      <c r="M1102" s="112">
        <v>43687</v>
      </c>
      <c r="N1102" s="74" t="s">
        <v>29</v>
      </c>
      <c r="O1102" s="88">
        <v>43811</v>
      </c>
      <c r="P1102" s="76"/>
      <c r="Q1102" s="76" t="s">
        <v>44</v>
      </c>
      <c r="R1102" s="79" t="str">
        <f>HYPERLINK("https://amzn.to/2uCNQ9n","link*")</f>
        <v>link*</v>
      </c>
      <c r="S1102" s="79" t="str">
        <f>HYPERLINK("https://www.bhphotovideo.com/c/product/1526146-REG/voigtlander_apo_lanthar50_apo_lanthar_50mm_f_2_aspherical.html/BI/19619/KBID/12129/DFF/d10-v21-t1-x1008376/SID/EZ","link*")</f>
        <v>link*</v>
      </c>
      <c r="T1102" s="121" t="s">
        <v>51</v>
      </c>
      <c r="U1102" s="121"/>
      <c r="V1102" s="77"/>
    </row>
    <row r="1103" spans="1:22" ht="13">
      <c r="A1103" s="126" t="str">
        <f>HYPERLINK("https://phillipreeve.net/blog/review-zeiss-loxia-planar-250-t/","Zeiss Loxia 50mm F2")</f>
        <v>Zeiss Loxia 50mm F2</v>
      </c>
      <c r="B1103" s="60">
        <v>320</v>
      </c>
      <c r="C1103" s="62">
        <v>50</v>
      </c>
      <c r="D1103" s="64">
        <v>2</v>
      </c>
      <c r="E1103" s="194">
        <v>62</v>
      </c>
      <c r="F1103" s="195">
        <v>60</v>
      </c>
      <c r="G1103" s="74" t="s">
        <v>25</v>
      </c>
      <c r="H1103" s="72" t="s">
        <v>131</v>
      </c>
      <c r="I1103" s="74">
        <v>0.15</v>
      </c>
      <c r="J1103" s="84">
        <v>45</v>
      </c>
      <c r="K1103" s="70" t="s">
        <v>27</v>
      </c>
      <c r="L1103" s="74">
        <v>10</v>
      </c>
      <c r="M1103" s="112">
        <v>43561</v>
      </c>
      <c r="N1103" s="74" t="s">
        <v>87</v>
      </c>
      <c r="O1103" s="88">
        <v>41913</v>
      </c>
      <c r="P1103" s="76">
        <v>949</v>
      </c>
      <c r="Q1103" s="76">
        <v>500</v>
      </c>
      <c r="R1103" s="79" t="str">
        <f>HYPERLINK("http://amzn.to/2faVsIu","link*")</f>
        <v>link*</v>
      </c>
      <c r="S1103" s="79" t="str">
        <f>HYPERLINK("https://www.bhphotovideo.com/c/product/1080387-REG/zeiss_2103_748_loxia_50mm_f_2_planar.html/BI/19619/KBID/12129/kw/ZE502LFE/DFF/d10-v2-t1-xZE502LFE","link*")</f>
        <v>link*</v>
      </c>
      <c r="T1103" s="79" t="str">
        <f>HYPERLINK("http://amzn.to/2wyJAU4","link*")</f>
        <v>link*</v>
      </c>
      <c r="U1103" s="79"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V1103" s="77" t="s">
        <v>166</v>
      </c>
    </row>
    <row r="1104" spans="1:22" ht="13" hidden="1">
      <c r="A1104" s="19" t="str">
        <f>HYPERLINK("https://phillipreeve.net/blog/rolling-review-sony-fe-2-850-macro/","Sony 50mm F/2.8 Macro")</f>
        <v>Sony 50mm F/2.8 Macro</v>
      </c>
      <c r="B1104" s="21">
        <v>236</v>
      </c>
      <c r="C1104" s="23">
        <v>50</v>
      </c>
      <c r="D1104" s="25">
        <v>2.8</v>
      </c>
      <c r="E1104" s="221">
        <v>72</v>
      </c>
      <c r="F1104" s="237">
        <v>71</v>
      </c>
      <c r="G1104" s="35" t="s">
        <v>36</v>
      </c>
      <c r="H1104" s="33" t="s">
        <v>147</v>
      </c>
      <c r="I1104" s="270">
        <v>1</v>
      </c>
      <c r="J1104" s="37">
        <v>16</v>
      </c>
      <c r="K1104" s="39" t="s">
        <v>27</v>
      </c>
      <c r="L1104" s="35">
        <v>7</v>
      </c>
      <c r="M1104" s="124">
        <v>43654</v>
      </c>
      <c r="N1104" s="35" t="s">
        <v>41</v>
      </c>
      <c r="O1104" s="42">
        <v>42614</v>
      </c>
      <c r="P1104" s="271">
        <v>499</v>
      </c>
      <c r="Q1104" s="271">
        <v>350</v>
      </c>
      <c r="R1104" s="47" t="str">
        <f>HYPERLINK("http://amzn.to/2v2g0qz","link*")</f>
        <v>link*</v>
      </c>
      <c r="S1104" s="47" t="str">
        <f>HYPERLINK("https://www.bhphotovideo.com/c/product/1277527-REG/sony_sel50m28_fe_50mm_f_2_8_macro.html/BI/19619/KBID/12129/kw/SO5028FF/DFF/d10-v2-t1-xSO5028FF","link*")</f>
        <v>link*</v>
      </c>
      <c r="T1104" s="47" t="str">
        <f>HYPERLINK("http://amzn.to/2vbknRN","link*")</f>
        <v>link*</v>
      </c>
      <c r="U1104" s="47"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V1104" s="130"/>
    </row>
    <row r="1105" spans="1:22" ht="13" hidden="1">
      <c r="A1105" s="132" t="str">
        <f>HYPERLINK("https://phillipreeve.net/blog/sony-fe-1-855-za-sonnar-t-review/","Sony ZA 55mm F1.8 Sonnar")</f>
        <v>Sony ZA 55mm F1.8 Sonnar</v>
      </c>
      <c r="B1105" s="133">
        <v>281</v>
      </c>
      <c r="C1105" s="135">
        <v>55</v>
      </c>
      <c r="D1105" s="137">
        <v>1.8</v>
      </c>
      <c r="E1105" s="221">
        <v>64</v>
      </c>
      <c r="F1105" s="237">
        <v>71</v>
      </c>
      <c r="G1105" s="146" t="s">
        <v>36</v>
      </c>
      <c r="H1105" s="145" t="s">
        <v>124</v>
      </c>
      <c r="I1105" s="146">
        <v>0.14000000000000001</v>
      </c>
      <c r="J1105" s="147">
        <v>50</v>
      </c>
      <c r="K1105" s="143" t="s">
        <v>27</v>
      </c>
      <c r="L1105" s="146">
        <v>9</v>
      </c>
      <c r="M1105" s="272">
        <v>43592</v>
      </c>
      <c r="N1105" s="146" t="s">
        <v>41</v>
      </c>
      <c r="O1105" s="150">
        <v>41548</v>
      </c>
      <c r="P1105" s="151">
        <v>999</v>
      </c>
      <c r="Q1105" s="151">
        <v>625</v>
      </c>
      <c r="R1105" s="154" t="str">
        <f>HYPERLINK("https://amzn.to/2ywdgEk","link*")</f>
        <v>link*</v>
      </c>
      <c r="S1105" s="154" t="str">
        <f>HYPERLINK("https://www.bhphotovideo.com/c/product/1008124-REG/sony_sel55f18z_sonnar_t_fe_55mm.html/BI/19619/KBID/12129/DFF/d10-v21-t1-x466841/SID/EZ","link*")</f>
        <v>link*</v>
      </c>
      <c r="T1105" s="273" t="s">
        <v>51</v>
      </c>
      <c r="U1105" s="154"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V1105" s="130"/>
    </row>
    <row r="1106" spans="1:22" ht="13">
      <c r="A1106" s="132" t="str">
        <f>HYPERLINK("https://phillipreeve.net/blog/voigtlander-65-f2-apo-macro-review/","Voigtlander Macro 65mm F2 Apo Lanthar")</f>
        <v>Voigtlander Macro 65mm F2 Apo Lanthar</v>
      </c>
      <c r="B1106" s="133">
        <v>635</v>
      </c>
      <c r="C1106" s="135">
        <v>65</v>
      </c>
      <c r="D1106" s="137">
        <v>2</v>
      </c>
      <c r="E1106" s="221">
        <v>78</v>
      </c>
      <c r="F1106" s="237">
        <v>91</v>
      </c>
      <c r="G1106" s="146" t="s">
        <v>25</v>
      </c>
      <c r="H1106" s="145" t="s">
        <v>73</v>
      </c>
      <c r="I1106" s="274">
        <v>0.5</v>
      </c>
      <c r="J1106" s="147">
        <v>31</v>
      </c>
      <c r="K1106" s="143" t="s">
        <v>27</v>
      </c>
      <c r="L1106" s="146">
        <v>10</v>
      </c>
      <c r="M1106" s="272">
        <v>43687</v>
      </c>
      <c r="N1106" s="146" t="s">
        <v>29</v>
      </c>
      <c r="O1106" s="275">
        <v>42917</v>
      </c>
      <c r="P1106" s="151">
        <v>999</v>
      </c>
      <c r="Q1106" s="151">
        <v>770</v>
      </c>
      <c r="R1106" s="154" t="str">
        <f>HYPERLINK("https://amzn.to/2LU48SI","link*")</f>
        <v>link*</v>
      </c>
      <c r="S1106" s="154" t="str">
        <f>HYPERLINK("https://www.bhphotovideo.com/c/product/1350400-REG/voigtlander_macro_apo_lanthar_65mm_f2.html/BI/19619/KBID/12129/DFF/d10-v21-t1-x835677/SID/EZ","link*")</f>
        <v>link*</v>
      </c>
      <c r="T1106" s="273" t="s">
        <v>51</v>
      </c>
      <c r="U1106" s="154"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V1106" s="130"/>
    </row>
    <row r="1107" spans="1:22" ht="13" hidden="1">
      <c r="A1107" s="66" t="s">
        <v>167</v>
      </c>
      <c r="B1107" s="50">
        <v>562</v>
      </c>
      <c r="C1107" s="68">
        <v>70</v>
      </c>
      <c r="D1107" s="52">
        <v>2.8</v>
      </c>
      <c r="E1107" s="194">
        <v>71</v>
      </c>
      <c r="F1107" s="232">
        <v>132</v>
      </c>
      <c r="G1107" s="59" t="s">
        <v>36</v>
      </c>
      <c r="H1107" s="57" t="s">
        <v>124</v>
      </c>
      <c r="I1107" s="276">
        <v>1</v>
      </c>
      <c r="J1107" s="71">
        <v>26</v>
      </c>
      <c r="K1107" s="73" t="s">
        <v>27</v>
      </c>
      <c r="L1107" s="59">
        <v>9</v>
      </c>
      <c r="M1107" s="110">
        <v>43751</v>
      </c>
      <c r="N1107" s="59" t="s">
        <v>47</v>
      </c>
      <c r="O1107" s="83">
        <v>43221</v>
      </c>
      <c r="P1107" s="277">
        <v>569</v>
      </c>
      <c r="Q1107" s="277">
        <v>360</v>
      </c>
      <c r="R1107" s="69" t="str">
        <f>HYPERLINK("https://amzn.to/2YGO9te","link*")</f>
        <v>link*</v>
      </c>
      <c r="S1107" s="69" t="str">
        <f>HYPERLINK("https://www.bhphotovideo.com/c/product/1393483-REG/sigma_70mm_f_2_8_dg_macro.html/BI/19619/KBID/12129/DFF/d10-v21-t1-x895111/SID/EZ","link*")</f>
        <v>link*</v>
      </c>
      <c r="T1107" s="189" t="s">
        <v>51</v>
      </c>
      <c r="U1107" s="69" t="e">
        <f>HYPERLINK("http://rover.ebay.com/rover/1/711-53200-19255-0/1?icep_ff3=9&amp;pub=5575076376&amp;toolid=10001&amp;campid=5338164340&amp;customid=&amp;icep_uq=sigma+70+2.8+macro+sony&amp;icep_sellerId=&amp;icep_ex_kw=&amp;icep_sortBy=12&amp;icep_catId=3323&amp;icep_minPrice=&amp;icep_maxPrice=&amp;ipn=psmain&amp;icep_ve"&amp;"ctorid=229466&amp;kwid=902099&amp;mtid=824&amp;kw=lg","link*")</f>
        <v>#VALUE!</v>
      </c>
      <c r="V1107" s="77" t="s">
        <v>48</v>
      </c>
    </row>
    <row r="1108" spans="1:22" ht="13" hidden="1">
      <c r="A1108" s="58" t="s">
        <v>168</v>
      </c>
      <c r="B1108" s="60">
        <v>1480</v>
      </c>
      <c r="C1108" s="62">
        <v>70</v>
      </c>
      <c r="D1108" s="64">
        <v>2.8</v>
      </c>
      <c r="E1108" s="194">
        <v>88</v>
      </c>
      <c r="F1108" s="195">
        <v>200</v>
      </c>
      <c r="G1108" s="74" t="s">
        <v>36</v>
      </c>
      <c r="H1108" s="72" t="s">
        <v>80</v>
      </c>
      <c r="I1108" s="239">
        <v>0.25</v>
      </c>
      <c r="J1108" s="84">
        <v>96</v>
      </c>
      <c r="K1108" s="134" t="s">
        <v>66</v>
      </c>
      <c r="L1108" s="74">
        <v>11</v>
      </c>
      <c r="M1108" s="115" t="s">
        <v>169</v>
      </c>
      <c r="N1108" s="74" t="s">
        <v>41</v>
      </c>
      <c r="O1108" s="88">
        <v>42401</v>
      </c>
      <c r="P1108" s="76">
        <v>2599</v>
      </c>
      <c r="Q1108" s="76">
        <v>2150</v>
      </c>
      <c r="R1108" s="79" t="str">
        <f>HYPERLINK("https://amzn.to/2KbaJGn","link*")</f>
        <v>link*</v>
      </c>
      <c r="S1108" s="79" t="str">
        <f>HYPERLINK("https://www.bhphotovideo.com/c/product/1222776-REG/sony_sel70200gm_fe_70_200mm_f_2_8_gm.html/BI/19619/KBID/12129/DFF/d10-v21-t1-x746807/SID/EZ","link*")</f>
        <v>link*</v>
      </c>
      <c r="T1108" s="113" t="s">
        <v>51</v>
      </c>
      <c r="U1108"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row>
    <row r="1109" spans="1:22" ht="13" hidden="1">
      <c r="A1109" s="58" t="s">
        <v>184</v>
      </c>
      <c r="B1109" s="60">
        <v>815</v>
      </c>
      <c r="C1109" s="62">
        <v>70</v>
      </c>
      <c r="D1109" s="64">
        <v>2.8</v>
      </c>
      <c r="E1109" s="279"/>
      <c r="F1109" s="232">
        <v>149</v>
      </c>
      <c r="G1109" s="74" t="s">
        <v>36</v>
      </c>
      <c r="H1109" s="72" t="s">
        <v>73</v>
      </c>
      <c r="I1109" s="239"/>
      <c r="J1109" s="84">
        <v>85</v>
      </c>
      <c r="K1109" s="74"/>
      <c r="L1109" s="74"/>
      <c r="M1109" s="115"/>
      <c r="N1109" s="74" t="s">
        <v>78</v>
      </c>
      <c r="O1109" s="88">
        <v>43952</v>
      </c>
      <c r="P1109" s="76"/>
      <c r="Q1109" s="76" t="s">
        <v>44</v>
      </c>
      <c r="R1109" s="121"/>
      <c r="S1109" s="121"/>
      <c r="T1109" s="113"/>
      <c r="U1109" s="121"/>
    </row>
    <row r="1110" spans="1:22" ht="13" hidden="1">
      <c r="A1110" s="58" t="s">
        <v>170</v>
      </c>
      <c r="B1110" s="60">
        <v>854</v>
      </c>
      <c r="C1110" s="62">
        <v>70</v>
      </c>
      <c r="D1110" s="64" t="s">
        <v>171</v>
      </c>
      <c r="E1110" s="194">
        <v>84</v>
      </c>
      <c r="F1110" s="195">
        <v>144</v>
      </c>
      <c r="G1110" s="74" t="s">
        <v>36</v>
      </c>
      <c r="H1110" s="72" t="s">
        <v>64</v>
      </c>
      <c r="I1110" s="201">
        <v>0.31</v>
      </c>
      <c r="J1110" s="84">
        <v>90</v>
      </c>
      <c r="K1110" s="134" t="s">
        <v>66</v>
      </c>
      <c r="L1110" s="74">
        <v>9</v>
      </c>
      <c r="M1110" s="115" t="s">
        <v>72</v>
      </c>
      <c r="N1110" s="74" t="s">
        <v>41</v>
      </c>
      <c r="O1110" s="88">
        <v>42430</v>
      </c>
      <c r="P1110" s="76">
        <v>1198</v>
      </c>
      <c r="Q1110" s="76">
        <v>900</v>
      </c>
      <c r="R1110" s="79" t="str">
        <f>HYPERLINK("https://amzn.to/2SVN1Ao","link*")</f>
        <v>link*</v>
      </c>
      <c r="S1110" s="79" t="str">
        <f>HYPERLINK("https://www.bhphotovideo.com/c/product/1242614-REG/sony_sel70300g_fe_70_300mm_f_4_5_5_6_g.html/BI/19619/KBID/12129/DFF/d10-v21-t1-x722726/SID/EZ","link*")</f>
        <v>link*</v>
      </c>
      <c r="T1110" s="113" t="s">
        <v>51</v>
      </c>
      <c r="U1110"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row>
    <row r="1111" spans="1:22" ht="13" hidden="1">
      <c r="A1111" s="19" t="str">
        <f>HYPERLINK("https://phillipreeve.net/blog/review-sony-fe-470-200-g-oss/https://phillipreeve.net/blog/review-sony-fe-470-200-g-oss/","Sony G 4/70-200 OSS")</f>
        <v>Sony G 4/70-200 OSS</v>
      </c>
      <c r="B1111" s="21">
        <v>840</v>
      </c>
      <c r="C1111" s="23">
        <v>70</v>
      </c>
      <c r="D1111" s="25">
        <v>4</v>
      </c>
      <c r="E1111" s="221">
        <v>80</v>
      </c>
      <c r="F1111" s="237">
        <v>175</v>
      </c>
      <c r="G1111" s="35" t="s">
        <v>36</v>
      </c>
      <c r="H1111" s="33" t="s">
        <v>64</v>
      </c>
      <c r="I1111" s="35">
        <v>0.18</v>
      </c>
      <c r="J1111" s="37">
        <v>100</v>
      </c>
      <c r="K1111" s="238" t="s">
        <v>66</v>
      </c>
      <c r="L1111" s="35">
        <v>9</v>
      </c>
      <c r="M1111" s="280" t="s">
        <v>173</v>
      </c>
      <c r="N1111" s="35" t="s">
        <v>41</v>
      </c>
      <c r="O1111" s="42">
        <v>41548</v>
      </c>
      <c r="P1111" s="44">
        <v>1498</v>
      </c>
      <c r="Q1111" s="44">
        <v>980</v>
      </c>
      <c r="R1111" s="47" t="str">
        <f>HYPERLINK("http://amzn.to/2fbeX3x","link*")</f>
        <v>link*</v>
      </c>
      <c r="S1111" s="47" t="str">
        <f>HYPERLINK("https://www.bhphotovideo.com/c/product/1380865-REG/sony_fe_70_200mm_f_4_g.html/BI/19619/KBID/12129/kw/SO702004F/DFF/d10-v2-t1-xSO702004F","link*")</f>
        <v>link*</v>
      </c>
      <c r="T1111" s="47" t="str">
        <f>HYPERLINK("http://amzn.to/2vbFQKj","link*")</f>
        <v>link*</v>
      </c>
      <c r="U1111" s="47"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V1111" s="130"/>
    </row>
    <row r="1112" spans="1:22" ht="13" hidden="1">
      <c r="A1112" s="157" t="str">
        <f>HYPERLINK("https://phillipreeve.net/blog/review-sony-fe-85mm-1-4-gm/","Sony GM 1.4/85")</f>
        <v>Sony GM 1.4/85</v>
      </c>
      <c r="B1112" s="50">
        <v>854</v>
      </c>
      <c r="C1112" s="68">
        <v>85</v>
      </c>
      <c r="D1112" s="52">
        <v>1.4</v>
      </c>
      <c r="E1112" s="194">
        <v>84</v>
      </c>
      <c r="F1112" s="195">
        <v>108</v>
      </c>
      <c r="G1112" s="59" t="s">
        <v>36</v>
      </c>
      <c r="H1112" s="57" t="s">
        <v>80</v>
      </c>
      <c r="I1112" s="59">
        <v>0.12</v>
      </c>
      <c r="J1112" s="71">
        <v>80</v>
      </c>
      <c r="K1112" s="73" t="s">
        <v>27</v>
      </c>
      <c r="L1112" s="59">
        <v>11</v>
      </c>
      <c r="M1112" s="110">
        <v>43688</v>
      </c>
      <c r="N1112" s="59" t="s">
        <v>41</v>
      </c>
      <c r="O1112" s="83">
        <v>42401</v>
      </c>
      <c r="P1112" s="61">
        <v>1799</v>
      </c>
      <c r="Q1112" s="61">
        <v>1150</v>
      </c>
      <c r="R1112" s="69" t="str">
        <f>HYPERLINK("https://amzn.to/2SZeKAh","link*")</f>
        <v>link*</v>
      </c>
      <c r="S1112" s="69" t="str">
        <f>HYPERLINK("https://www.bhphotovideo.com/c/product/1222775-REG/sony_sel85f14gm_fe_85mm_f_1_4_gm.html/BI/19619/KBID/12129/DFF/d10-v21-t1-x707644/SID/EZ","link*")</f>
        <v>link*</v>
      </c>
      <c r="T1112" s="189" t="s">
        <v>51</v>
      </c>
      <c r="U1112" s="6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row>
    <row r="1113" spans="1:22" ht="13" hidden="1">
      <c r="A1113" s="58" t="s">
        <v>174</v>
      </c>
      <c r="B1113" s="60">
        <v>1245</v>
      </c>
      <c r="C1113" s="62">
        <v>85</v>
      </c>
      <c r="D1113" s="64">
        <v>1.4</v>
      </c>
      <c r="E1113" s="194">
        <v>95</v>
      </c>
      <c r="F1113" s="195">
        <v>152</v>
      </c>
      <c r="G1113" s="74" t="s">
        <v>36</v>
      </c>
      <c r="H1113" s="269" t="s">
        <v>175</v>
      </c>
      <c r="I1113" s="74">
        <v>0.12</v>
      </c>
      <c r="J1113" s="84">
        <v>85</v>
      </c>
      <c r="K1113" s="70" t="s">
        <v>27</v>
      </c>
      <c r="L1113" s="74">
        <v>9</v>
      </c>
      <c r="M1113" s="112">
        <v>43724</v>
      </c>
      <c r="N1113" s="74" t="s">
        <v>47</v>
      </c>
      <c r="O1113" s="88">
        <v>43221</v>
      </c>
      <c r="P1113" s="76">
        <v>1199</v>
      </c>
      <c r="Q1113" s="76">
        <v>750</v>
      </c>
      <c r="R1113" s="79" t="str">
        <f>HYPERLINK("https://amzn.to/2MBd68k","link*")</f>
        <v>link*</v>
      </c>
      <c r="S1113" s="79" t="str">
        <f>HYPERLINK("https://www.bhphotovideo.com/c/product/1393494-REG/sigma_85mm_f_1_4_dg_hsm.html/BI/19619/KBID/12129/kw/SI8514SO/DFF/d10-v2-t1-xSI8514SO","link*")</f>
        <v>link*</v>
      </c>
      <c r="T1113" s="79" t="str">
        <f>HYPERLINK("https://amzn.to/2Wto6JH","link*")</f>
        <v>link*</v>
      </c>
      <c r="U1113" s="79"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V1113" s="77" t="s">
        <v>48</v>
      </c>
    </row>
    <row r="1114" spans="1:22" ht="13" hidden="1">
      <c r="A1114" s="58" t="s">
        <v>176</v>
      </c>
      <c r="B1114" s="60">
        <v>568</v>
      </c>
      <c r="C1114" s="62">
        <v>85</v>
      </c>
      <c r="D1114" s="64">
        <v>1.4</v>
      </c>
      <c r="E1114" s="194">
        <v>88</v>
      </c>
      <c r="F1114" s="195">
        <v>100</v>
      </c>
      <c r="G1114" s="74" t="s">
        <v>36</v>
      </c>
      <c r="H1114" s="72" t="s">
        <v>80</v>
      </c>
      <c r="I1114" s="74">
        <v>0.11</v>
      </c>
      <c r="J1114" s="84">
        <v>90</v>
      </c>
      <c r="K1114" s="70" t="s">
        <v>27</v>
      </c>
      <c r="L1114" s="74">
        <v>9</v>
      </c>
      <c r="M1114" s="112">
        <v>43688</v>
      </c>
      <c r="N1114" s="74" t="s">
        <v>38</v>
      </c>
      <c r="O1114" s="88">
        <v>43586</v>
      </c>
      <c r="P1114" s="156">
        <v>599</v>
      </c>
      <c r="Q1114" s="76" t="s">
        <v>44</v>
      </c>
      <c r="R1114" s="79" t="str">
        <f>HYPERLINK("https://amzn.to/2T0yJ1A","link*")</f>
        <v>link*</v>
      </c>
      <c r="S1114" s="79" t="str">
        <f>HYPERLINK("https://www.bhphotovideo.com/c/product/1470654-REG/samyang_syio85af_e_af_85mm_f_1_4_lens.html/BI/19619/KBID/12129/DFF/d10-v21-t1-x955078/SID/EZ","link*")</f>
        <v>link*</v>
      </c>
      <c r="T1114" s="113" t="s">
        <v>51</v>
      </c>
      <c r="U1114"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row>
    <row r="1115" spans="1:22" ht="13" hidden="1">
      <c r="A1115" s="126" t="str">
        <f>HYPERLINK("https://phillipreeve.net/blog/review-sony-fe-85-mm-1-8/","Sony FE 85mm f/1.8")</f>
        <v>Sony FE 85mm f/1.8</v>
      </c>
      <c r="B1115" s="60">
        <v>371</v>
      </c>
      <c r="C1115" s="62">
        <v>85</v>
      </c>
      <c r="D1115" s="64">
        <v>1.8</v>
      </c>
      <c r="E1115" s="194">
        <v>77</v>
      </c>
      <c r="F1115" s="195">
        <v>82</v>
      </c>
      <c r="G1115" s="74" t="s">
        <v>36</v>
      </c>
      <c r="H1115" s="72" t="s">
        <v>73</v>
      </c>
      <c r="I1115" s="74">
        <v>0.13</v>
      </c>
      <c r="J1115" s="84">
        <v>80</v>
      </c>
      <c r="K1115" s="70" t="s">
        <v>27</v>
      </c>
      <c r="L1115" s="74">
        <v>9</v>
      </c>
      <c r="M1115" s="112">
        <v>43686</v>
      </c>
      <c r="N1115" s="74" t="s">
        <v>41</v>
      </c>
      <c r="O1115" s="88">
        <v>42767</v>
      </c>
      <c r="P1115" s="156">
        <v>599</v>
      </c>
      <c r="Q1115" s="156">
        <v>470</v>
      </c>
      <c r="R1115" s="79" t="str">
        <f>HYPERLINK("https://amzn.to/2YB4RxU","link*")</f>
        <v>link*</v>
      </c>
      <c r="S1115" s="79" t="str">
        <f>HYPERLINK("https://www.bhphotovideo.com/c/product/1140833-REG/zeiss_2103_751_85mm_f_1_8_batis_short.html/BI/19619/KBID/12129/DFF/d10-v21-t1-x627139/SID/EZ","link*")</f>
        <v>link*</v>
      </c>
      <c r="T1115" s="113" t="s">
        <v>51</v>
      </c>
      <c r="U1115"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row>
    <row r="1116" spans="1:22" ht="13" hidden="1">
      <c r="A1116" s="163" t="s">
        <v>194</v>
      </c>
      <c r="B1116" s="60">
        <v>645</v>
      </c>
      <c r="C1116" s="62">
        <v>85</v>
      </c>
      <c r="D1116" s="64">
        <v>1.8</v>
      </c>
      <c r="E1116" s="199">
        <v>80</v>
      </c>
      <c r="F1116" s="232">
        <v>93</v>
      </c>
      <c r="G1116" s="74" t="s">
        <v>36</v>
      </c>
      <c r="H1116" s="72" t="s">
        <v>64</v>
      </c>
      <c r="I1116" s="74">
        <v>0.125</v>
      </c>
      <c r="J1116" s="84">
        <v>80</v>
      </c>
      <c r="K1116" s="70" t="s">
        <v>27</v>
      </c>
      <c r="L1116" s="74">
        <v>9</v>
      </c>
      <c r="M1116" s="112">
        <v>44022</v>
      </c>
      <c r="N1116" s="74" t="s">
        <v>103</v>
      </c>
      <c r="O1116" s="88">
        <v>43922</v>
      </c>
      <c r="P1116" s="76">
        <v>499</v>
      </c>
      <c r="Q1116" s="76"/>
      <c r="R1116" s="121"/>
      <c r="S1116" s="121"/>
      <c r="T1116" s="113"/>
      <c r="U1116" s="121"/>
      <c r="V1116" s="77" t="s">
        <v>196</v>
      </c>
    </row>
    <row r="1117" spans="1:22" ht="13" hidden="1">
      <c r="A1117" s="126" t="str">
        <f>HYPERLINK("https://phillipreeve.net/blog/zeiss-batis-sonnar-t-85mm-f1-8-a-review/","Zeiss Batis 1.8/85")</f>
        <v>Zeiss Batis 1.8/85</v>
      </c>
      <c r="B1117" s="60">
        <v>475</v>
      </c>
      <c r="C1117" s="62">
        <v>85</v>
      </c>
      <c r="D1117" s="64">
        <v>1.8</v>
      </c>
      <c r="E1117" s="194">
        <v>92</v>
      </c>
      <c r="F1117" s="195">
        <v>81</v>
      </c>
      <c r="G1117" s="74" t="s">
        <v>36</v>
      </c>
      <c r="H1117" s="72" t="s">
        <v>73</v>
      </c>
      <c r="I1117" s="74">
        <v>0.13</v>
      </c>
      <c r="J1117" s="84">
        <v>80</v>
      </c>
      <c r="K1117" s="134" t="s">
        <v>66</v>
      </c>
      <c r="L1117" s="74">
        <v>9</v>
      </c>
      <c r="M1117" s="112">
        <v>43688</v>
      </c>
      <c r="N1117" s="74" t="s">
        <v>87</v>
      </c>
      <c r="O1117" s="88">
        <v>42125</v>
      </c>
      <c r="P1117" s="76">
        <v>1199</v>
      </c>
      <c r="Q1117" s="76">
        <v>750</v>
      </c>
      <c r="R1117" s="79" t="str">
        <f>HYPERLINK("https://amzn.to/2T8oWqt","link*")</f>
        <v>link*</v>
      </c>
      <c r="S1117" s="79" t="str">
        <f>HYPERLINK("https://www.bhphotovideo.com/c/product/1140833-REG/zeiss_2103_751_85mm_f_1_8_batis_short.html/BI/19619/KBID/12129/DFF/d10-v21-t1-x627139/SID/EZ","link*")</f>
        <v>link*</v>
      </c>
      <c r="T1117" s="113" t="s">
        <v>51</v>
      </c>
      <c r="U1117"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row>
    <row r="1118" spans="1:22" ht="13">
      <c r="A1118" s="58" t="s">
        <v>197</v>
      </c>
      <c r="B1118" s="60">
        <v>665</v>
      </c>
      <c r="C1118" s="62">
        <v>85</v>
      </c>
      <c r="D1118" s="64">
        <v>1.8</v>
      </c>
      <c r="E1118" s="194">
        <v>79</v>
      </c>
      <c r="F1118" s="195">
        <v>92</v>
      </c>
      <c r="G1118" s="74" t="s">
        <v>25</v>
      </c>
      <c r="H1118" s="72" t="s">
        <v>64</v>
      </c>
      <c r="I1118" s="74">
        <v>0.13</v>
      </c>
      <c r="J1118" s="84">
        <v>80</v>
      </c>
      <c r="K1118" s="70" t="s">
        <v>27</v>
      </c>
      <c r="L1118" s="74">
        <v>9</v>
      </c>
      <c r="M1118" s="112">
        <v>43656</v>
      </c>
      <c r="N1118" s="74" t="s">
        <v>106</v>
      </c>
      <c r="O1118" s="292">
        <v>43586</v>
      </c>
      <c r="P1118" s="76">
        <v>299</v>
      </c>
      <c r="Q1118" s="76" t="s">
        <v>44</v>
      </c>
      <c r="R1118" s="79" t="str">
        <f>HYPERLINK("https://amzn.to/2LVVOBV","link*")</f>
        <v>link*</v>
      </c>
      <c r="S1118" s="121" t="s">
        <v>264</v>
      </c>
      <c r="T1118" s="113" t="s">
        <v>51</v>
      </c>
      <c r="U1118" s="79"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V1118" s="77" t="s">
        <v>200</v>
      </c>
    </row>
    <row r="1119" spans="1:22" ht="13" hidden="1">
      <c r="A1119" s="126" t="str">
        <f>HYPERLINK("https://phillipreeve.net/blog/review-viltrox-85-mm-f-1-8-stm-af-pfu-rbmh/","Viltrox PFU RBMH 85mm f/1.8 STM")</f>
        <v>Viltrox PFU RBMH 85mm f/1.8 STM</v>
      </c>
      <c r="B1119" s="60">
        <v>636</v>
      </c>
      <c r="C1119" s="62">
        <v>85</v>
      </c>
      <c r="D1119" s="64">
        <v>1.8</v>
      </c>
      <c r="E1119" s="194">
        <v>79</v>
      </c>
      <c r="F1119" s="195">
        <v>92</v>
      </c>
      <c r="G1119" s="74" t="s">
        <v>36</v>
      </c>
      <c r="H1119" s="72" t="s">
        <v>64</v>
      </c>
      <c r="I1119" s="74">
        <v>0.13</v>
      </c>
      <c r="J1119" s="84">
        <v>80</v>
      </c>
      <c r="K1119" s="70" t="s">
        <v>27</v>
      </c>
      <c r="L1119" s="74">
        <v>9</v>
      </c>
      <c r="M1119" s="112">
        <v>43656</v>
      </c>
      <c r="N1119" s="74" t="s">
        <v>106</v>
      </c>
      <c r="O1119" s="88">
        <v>43586</v>
      </c>
      <c r="P1119" s="76">
        <v>399</v>
      </c>
      <c r="Q1119" s="76" t="s">
        <v>44</v>
      </c>
      <c r="R1119" s="79" t="str">
        <f>HYPERLINK("https://amzn.to/2SZfd5v","link*")</f>
        <v>link*</v>
      </c>
      <c r="S1119" s="79" t="str">
        <f>HYPERLINK("https://www.bhphotovideo.com/c/product/1470585-REG/viltrox_pfu_rbmh_85mm_f1_8_stm_e_mount_85mm_f_1_8_lens_for.html/BI/19619/KBID/12129/DFF/d10-v21-t1-x955239/SID/EZ","link*")</f>
        <v>link*</v>
      </c>
      <c r="T1119" s="113" t="s">
        <v>51</v>
      </c>
      <c r="U1119"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row>
    <row r="1120" spans="1:22" ht="13">
      <c r="A1120" s="19" t="str">
        <f>HYPERLINK("https://phillipreeve.net/blog/rolling-review-zeiss-loxia-85mm-2-4/","Zeiss Loxia 2.4/85")</f>
        <v>Zeiss Loxia 2.4/85</v>
      </c>
      <c r="B1120" s="21">
        <v>594</v>
      </c>
      <c r="C1120" s="23">
        <v>85</v>
      </c>
      <c r="D1120" s="25">
        <v>2.4</v>
      </c>
      <c r="E1120" s="221">
        <v>63</v>
      </c>
      <c r="F1120" s="237">
        <v>95</v>
      </c>
      <c r="G1120" s="35" t="s">
        <v>25</v>
      </c>
      <c r="H1120" s="33" t="s">
        <v>131</v>
      </c>
      <c r="I1120" s="35">
        <v>0.14000000000000001</v>
      </c>
      <c r="J1120" s="37">
        <v>80</v>
      </c>
      <c r="K1120" s="39" t="s">
        <v>27</v>
      </c>
      <c r="L1120" s="35">
        <v>10</v>
      </c>
      <c r="M1120" s="124">
        <v>43653</v>
      </c>
      <c r="N1120" s="35" t="s">
        <v>87</v>
      </c>
      <c r="O1120" s="42">
        <v>42644</v>
      </c>
      <c r="P1120" s="44">
        <v>1399</v>
      </c>
      <c r="Q1120" s="44">
        <v>850</v>
      </c>
      <c r="R1120" s="47" t="str">
        <f>HYPERLINK("https://amzn.to/2SY4PLd","link*")</f>
        <v>link*</v>
      </c>
      <c r="S1120" s="47" t="str">
        <f>HYPERLINK("https://www.bhphotovideo.com/c/product/1282150-REG/zeiss_2162_636_loxia_85mm_f_2_4_lens.html/BI/19619/KBID/12129/DFF/d10-v21-t1-x762761/SID/EZ","link*")</f>
        <v>link*</v>
      </c>
      <c r="T1120" s="97" t="s">
        <v>51</v>
      </c>
      <c r="U1120" s="47"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V1120" s="130"/>
    </row>
    <row r="1121" spans="1:22" ht="13" hidden="1">
      <c r="A1121" s="132" t="str">
        <f>HYPERLINK("https://phillipreeve.net/blog/review-sony-fe-90mm-f2-8-macro-oss-one-of-sonys-finest/","Sony 2.8/90 G OSS")</f>
        <v>Sony 2.8/90 G OSS</v>
      </c>
      <c r="B1121" s="133">
        <v>602</v>
      </c>
      <c r="C1121" s="135">
        <v>90</v>
      </c>
      <c r="D1121" s="137">
        <v>2.8</v>
      </c>
      <c r="E1121" s="221">
        <v>79</v>
      </c>
      <c r="F1121" s="237">
        <v>131</v>
      </c>
      <c r="G1121" s="146" t="s">
        <v>36</v>
      </c>
      <c r="H1121" s="145" t="s">
        <v>101</v>
      </c>
      <c r="I1121" s="293">
        <v>1</v>
      </c>
      <c r="J1121" s="147">
        <v>28</v>
      </c>
      <c r="K1121" s="294" t="s">
        <v>66</v>
      </c>
      <c r="L1121" s="146">
        <v>9</v>
      </c>
      <c r="M1121" s="272">
        <v>43784</v>
      </c>
      <c r="N1121" s="146" t="s">
        <v>41</v>
      </c>
      <c r="O1121" s="150">
        <v>42064</v>
      </c>
      <c r="P1121" s="151">
        <v>1099</v>
      </c>
      <c r="Q1121" s="151">
        <v>830</v>
      </c>
      <c r="R1121" s="154" t="str">
        <f>HYPERLINK("http://amzn.to/2fbeX3x","link*")</f>
        <v>link*</v>
      </c>
      <c r="S1121" s="154" t="str">
        <f>HYPERLINK("https://www.bhphotovideo.com/c/product/1380868-REG/sony_fe_90mm_f_2_8_macro.html/BI/19619/KBID/12129/kw/SO9028F/DFF/d10-v2-t1-xSO9028F","link*")</f>
        <v>link*</v>
      </c>
      <c r="T1121" s="154" t="str">
        <f>HYPERLINK("http://amzn.to/2vvvHcw","link*")</f>
        <v>link*</v>
      </c>
      <c r="U1121" s="154"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V1121" s="130"/>
    </row>
    <row r="1122" spans="1:22" ht="13" hidden="1">
      <c r="A1122" s="157" t="str">
        <f>HYPERLINK("https://phillipreeve.net/blog/review-sony-fe-100-f-2-8-stf-gm-oss-lens/","Sony GM 2.8/100 STF OSS")</f>
        <v>Sony GM 2.8/100 STF OSS</v>
      </c>
      <c r="B1122" s="50">
        <v>700</v>
      </c>
      <c r="C1122" s="68">
        <v>100</v>
      </c>
      <c r="D1122" s="52">
        <v>2.8</v>
      </c>
      <c r="E1122" s="194">
        <v>85</v>
      </c>
      <c r="F1122" s="195">
        <v>118</v>
      </c>
      <c r="G1122" s="59" t="s">
        <v>36</v>
      </c>
      <c r="H1122" s="57" t="s">
        <v>64</v>
      </c>
      <c r="I1122" s="295">
        <v>0.25</v>
      </c>
      <c r="J1122" s="71">
        <v>57</v>
      </c>
      <c r="K1122" s="158" t="s">
        <v>66</v>
      </c>
      <c r="L1122" s="59">
        <v>11</v>
      </c>
      <c r="M1122" s="110">
        <v>43752</v>
      </c>
      <c r="N1122" s="59" t="s">
        <v>41</v>
      </c>
      <c r="O1122" s="83">
        <v>42767</v>
      </c>
      <c r="P1122" s="61">
        <v>1499</v>
      </c>
      <c r="Q1122" s="61">
        <v>1100</v>
      </c>
      <c r="R1122" s="69" t="str">
        <f>HYPERLINK("https://amzn.to/2YD8rn4","link*")</f>
        <v>link*</v>
      </c>
      <c r="S1122" s="69" t="str">
        <f>HYPERLINK("https://www.bhphotovideo.com/c/product/1317561-REG/sony_sel100f28gm_fe_100mm_f_2_8_stf.html/BI/19619/KBID/12129/DFF/d10-v21-t1-x795192/SID/EZ","link*")</f>
        <v>link*</v>
      </c>
      <c r="T1122" s="189" t="s">
        <v>51</v>
      </c>
      <c r="U1122" s="6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V1122" s="77" t="s">
        <v>178</v>
      </c>
    </row>
    <row r="1123" spans="1:22" ht="13" hidden="1">
      <c r="A1123" s="126" t="str">
        <f>HYPERLINK("https://phillipreeve.net/blog/review-tokina-firin-100mm-f2-8-fe-macro/","Tokina Firin 2.8/100 Macro")</f>
        <v>Tokina Firin 2.8/100 Macro</v>
      </c>
      <c r="B1123" s="60">
        <v>570</v>
      </c>
      <c r="C1123" s="62">
        <v>100</v>
      </c>
      <c r="D1123" s="64">
        <v>2.8</v>
      </c>
      <c r="E1123" s="194">
        <v>74</v>
      </c>
      <c r="F1123" s="176">
        <v>123</v>
      </c>
      <c r="G1123" s="74" t="s">
        <v>36</v>
      </c>
      <c r="H1123" s="72" t="s">
        <v>147</v>
      </c>
      <c r="I1123" s="263">
        <v>1</v>
      </c>
      <c r="J1123" s="84">
        <v>30</v>
      </c>
      <c r="K1123" s="70" t="s">
        <v>27</v>
      </c>
      <c r="L1123" s="74">
        <v>9</v>
      </c>
      <c r="M1123" s="112">
        <v>43686</v>
      </c>
      <c r="N1123" s="74" t="s">
        <v>103</v>
      </c>
      <c r="O1123" s="88">
        <v>43617</v>
      </c>
      <c r="P1123" s="184">
        <v>599</v>
      </c>
      <c r="Q1123" s="184" t="s">
        <v>44</v>
      </c>
      <c r="R1123" s="79" t="str">
        <f>HYPERLINK("http://amzn.to/2fbeX3x","link*")</f>
        <v>link*</v>
      </c>
      <c r="S1123" s="79" t="str">
        <f>HYPERLINK("https://www.bhphotovideo.com/c/product/1473390-REG/tokina_frn_afm100fxse_firin_100mm_f_2_8_fe.html/BI/19619/KBID/12129/kw/TO100AF/DFF/d10-v2-t1-xTO100AF","link*")</f>
        <v>link*</v>
      </c>
      <c r="T1123" s="79"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U1123" s="79" t="e">
        <f>HYPERLINK("http://rover.ebay.com/rover/1/711-53200-19255-0/1?icep_ff3=10&amp;pub=5575076376&amp;toolid=10001&amp;campid=5338164340&amp;customid=&amp;icep_uq=tokina+firin+macro&amp;icep_sellerId=&amp;icep_ex_kw=&amp;icep_sortBy=12&amp;icep_catId=&amp;icep_minPrice=&amp;icep_maxPrice=&amp;ipn=psmain&amp;icep_vectorid=2"&amp;"29466&amp;kwid=902099&amp;mtid=824&amp;kw=lg","link*")</f>
        <v>#VALUE!</v>
      </c>
      <c r="V1123" s="77" t="s">
        <v>48</v>
      </c>
    </row>
    <row r="1124" spans="1:22" ht="13" hidden="1">
      <c r="A1124" s="120" t="s">
        <v>179</v>
      </c>
      <c r="B1124" s="21">
        <v>1395</v>
      </c>
      <c r="C1124" s="23">
        <v>100</v>
      </c>
      <c r="D1124" s="25" t="s">
        <v>171</v>
      </c>
      <c r="E1124" s="221">
        <v>94</v>
      </c>
      <c r="F1124" s="193">
        <v>205</v>
      </c>
      <c r="G1124" s="35" t="s">
        <v>36</v>
      </c>
      <c r="H1124" s="33" t="s">
        <v>80</v>
      </c>
      <c r="I1124" s="266">
        <v>0.35</v>
      </c>
      <c r="J1124" s="37">
        <v>98</v>
      </c>
      <c r="K1124" s="238" t="s">
        <v>66</v>
      </c>
      <c r="L1124" s="35">
        <v>9</v>
      </c>
      <c r="M1124" s="280" t="s">
        <v>180</v>
      </c>
      <c r="N1124" s="35" t="s">
        <v>41</v>
      </c>
      <c r="O1124" s="42">
        <v>42826</v>
      </c>
      <c r="P1124" s="44">
        <v>2499</v>
      </c>
      <c r="Q1124" s="44">
        <v>1950</v>
      </c>
      <c r="R1124" s="47" t="str">
        <f>HYPERLINK("https://amzn.to/2SZ0aZO","link*")</f>
        <v>link*</v>
      </c>
      <c r="S1124" s="47" t="str">
        <f>HYPERLINK("https://www.bhphotovideo.com/c/product/1333230-REG/sony_sel100400gm_fe_100_400mm_f_4_5_5_6_gm.html/BI/19619/KBID/12129/DFF/d10-v21-t1-x817745/SID/EZ","link*")</f>
        <v>link*</v>
      </c>
      <c r="T1124" s="97" t="s">
        <v>51</v>
      </c>
      <c r="U1124" s="47"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V1124" s="130"/>
    </row>
    <row r="1125" spans="1:22" ht="13" hidden="1">
      <c r="A1125" s="296" t="s">
        <v>181</v>
      </c>
      <c r="B1125" s="133">
        <v>1720</v>
      </c>
      <c r="C1125" s="135">
        <v>105</v>
      </c>
      <c r="D1125" s="137">
        <v>1.4</v>
      </c>
      <c r="E1125" s="221">
        <v>116</v>
      </c>
      <c r="F1125" s="297">
        <v>157.5</v>
      </c>
      <c r="G1125" s="146" t="s">
        <v>36</v>
      </c>
      <c r="H1125" s="298" t="s">
        <v>182</v>
      </c>
      <c r="I1125" s="146">
        <v>0.12</v>
      </c>
      <c r="J1125" s="147">
        <v>100</v>
      </c>
      <c r="K1125" s="143" t="s">
        <v>27</v>
      </c>
      <c r="L1125" s="146">
        <v>9</v>
      </c>
      <c r="M1125" s="272">
        <v>43816</v>
      </c>
      <c r="N1125" s="146" t="s">
        <v>183</v>
      </c>
      <c r="O1125" s="150">
        <v>43221</v>
      </c>
      <c r="P1125" s="151">
        <v>1599</v>
      </c>
      <c r="Q1125" s="151">
        <v>1200</v>
      </c>
      <c r="R1125" s="154" t="str">
        <f>HYPERLINK("https://amzn.to/2EWeThZ","link*")</f>
        <v>link*</v>
      </c>
      <c r="S1125" s="154" t="str">
        <f>HYPERLINK("https://www.bhphotovideo.com/c/product/1393488-REG/sigma_105mm_f_1_4_dg_hsm.html/BI/19619/KBID/12129/kw/SI10514SO/DFF/d10-v2-t1-xSI10514SO","link*")</f>
        <v>link*</v>
      </c>
      <c r="T1125" s="154" t="str">
        <f>HYPERLINK("https://amzn.to/2WpOvTy","link*")</f>
        <v>link*</v>
      </c>
      <c r="U1125" s="154" t="e">
        <f>HYPERLINK("http://rover.ebay.com/rover/1/711-53200-19255-0/1?icep_ff3=9&amp;pub=5575076376&amp;toolid=10001&amp;campid=5338164340&amp;customid=&amp;icep_uq=sigma+art+105+1.4+sony&amp;icep_sellerId=&amp;icep_ex_kw=&amp;icep_sortBy=12&amp;icep_catId=3323&amp;icep_minPrice=&amp;icep_maxPrice=&amp;ipn=psmain&amp;icep_vec"&amp;"torid=229466&amp;kwid=902099&amp;mtid=824&amp;kw=lg","link*")</f>
        <v>#VALUE!</v>
      </c>
      <c r="V1125" s="56" t="s">
        <v>48</v>
      </c>
    </row>
    <row r="1126" spans="1:22" ht="13">
      <c r="A1126" s="132" t="str">
        <f>HYPERLINK("https://phillipreeve.net/blog/voigtlander-110mm-f2-5-apo-review/","Voigtlander 110mm F2.5 APO Macro")</f>
        <v>Voigtlander 110mm F2.5 APO Macro</v>
      </c>
      <c r="B1126" s="133">
        <v>771</v>
      </c>
      <c r="C1126" s="135">
        <v>110</v>
      </c>
      <c r="D1126" s="137">
        <v>2.5</v>
      </c>
      <c r="E1126" s="221">
        <v>78</v>
      </c>
      <c r="F1126" s="237">
        <v>100</v>
      </c>
      <c r="G1126" s="146" t="s">
        <v>25</v>
      </c>
      <c r="H1126" s="145" t="s">
        <v>71</v>
      </c>
      <c r="I1126" s="293">
        <v>1</v>
      </c>
      <c r="J1126" s="147">
        <v>35</v>
      </c>
      <c r="K1126" s="143" t="s">
        <v>27</v>
      </c>
      <c r="L1126" s="146">
        <v>10</v>
      </c>
      <c r="M1126" s="272">
        <v>43813</v>
      </c>
      <c r="N1126" s="146" t="s">
        <v>29</v>
      </c>
      <c r="O1126" s="150">
        <v>43405</v>
      </c>
      <c r="P1126" s="151">
        <v>1099</v>
      </c>
      <c r="Q1126" s="151" t="s">
        <v>44</v>
      </c>
      <c r="R1126" s="154" t="str">
        <f>HYPERLINK("https://amzn.to/2SXYsrm","link*")</f>
        <v>link*</v>
      </c>
      <c r="S1126" s="154" t="str">
        <f>HYPERLINK("https://www.bhphotovideo.com/c/product/1418780-REG/voigtlander_ba349a_macro_apo_lanthar_110mm_f_2_5.html/BI/19619/KBID/12129/kw/VO11025/DFF/d10-v2-t1-xVO11025","link*")</f>
        <v>link*</v>
      </c>
      <c r="T1126" s="273" t="s">
        <v>51</v>
      </c>
      <c r="U1126" s="154"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V1126" s="130"/>
    </row>
    <row r="1127" spans="1:22" ht="13" hidden="1">
      <c r="A1127" s="157" t="str">
        <f>HYPERLINK("https://phillipreeve.net/blog/review-sony-fe-135mm-f1-8-gm/","Sony 1.8/135 GM")</f>
        <v>Sony 1.8/135 GM</v>
      </c>
      <c r="B1127" s="50">
        <v>950</v>
      </c>
      <c r="C1127" s="68">
        <v>135</v>
      </c>
      <c r="D1127" s="52">
        <v>1.8</v>
      </c>
      <c r="E1127" s="194">
        <v>90</v>
      </c>
      <c r="F1127" s="195">
        <v>127</v>
      </c>
      <c r="G1127" s="59" t="s">
        <v>36</v>
      </c>
      <c r="H1127" s="243" t="s">
        <v>68</v>
      </c>
      <c r="I1127" s="295">
        <v>0.25</v>
      </c>
      <c r="J1127" s="71">
        <v>70</v>
      </c>
      <c r="K1127" s="73" t="s">
        <v>27</v>
      </c>
      <c r="L1127" s="59">
        <v>11</v>
      </c>
      <c r="M1127" s="110">
        <v>43751</v>
      </c>
      <c r="N1127" s="59" t="s">
        <v>41</v>
      </c>
      <c r="O1127" s="83">
        <v>43525</v>
      </c>
      <c r="P1127" s="61">
        <v>1899</v>
      </c>
      <c r="Q1127" s="61">
        <v>1800</v>
      </c>
      <c r="R1127" s="69" t="str">
        <f>HYPERLINK("https://amzn.to/2WtonMJ","link*")</f>
        <v>link*</v>
      </c>
      <c r="S1127" s="69" t="str">
        <f>HYPERLINK("https://www.bhphotovideo.com/c/product/1393495-REG/sigma_135mm_f_1_8_dg_hsm.html/BI/19619/KBID/12129/kw/SI13518SO/DFF/d10-v2-t1-xSI13518SO","link*")</f>
        <v>link*</v>
      </c>
      <c r="T1127" s="69" t="str">
        <f>HYPERLINK("https://amzn.to/2Z9KKDE","link*")</f>
        <v>link*</v>
      </c>
      <c r="U1127" s="6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row>
    <row r="1128" spans="1:22" ht="13" hidden="1">
      <c r="A1128" s="58" t="s">
        <v>185</v>
      </c>
      <c r="B1128" s="60">
        <v>1225</v>
      </c>
      <c r="C1128" s="62">
        <v>135</v>
      </c>
      <c r="D1128" s="64">
        <v>1.8</v>
      </c>
      <c r="E1128" s="194">
        <v>91</v>
      </c>
      <c r="F1128" s="232">
        <v>140.9</v>
      </c>
      <c r="G1128" s="74" t="s">
        <v>36</v>
      </c>
      <c r="H1128" s="236" t="s">
        <v>68</v>
      </c>
      <c r="I1128" s="74">
        <v>0.2</v>
      </c>
      <c r="J1128" s="84">
        <v>87</v>
      </c>
      <c r="K1128" s="70" t="s">
        <v>27</v>
      </c>
      <c r="L1128" s="74">
        <v>9</v>
      </c>
      <c r="M1128" s="112">
        <v>43751</v>
      </c>
      <c r="N1128" s="74" t="s">
        <v>47</v>
      </c>
      <c r="O1128" s="88">
        <v>43221</v>
      </c>
      <c r="P1128" s="184">
        <v>1399</v>
      </c>
      <c r="Q1128" s="184">
        <v>850</v>
      </c>
      <c r="R1128" s="79" t="str">
        <f>HYPERLINK("https://amzn.to/2yxIM4R","link*")</f>
        <v>link*</v>
      </c>
      <c r="S1128" s="79" t="str">
        <f>HYPERLINK("https://www.bhphotovideo.com/c/product/1393495-REG/sigma_135mm_f_1_8_dg_hsm.html/BI/19619/KBID/12129/DFF/d10-v21-t1-x881160/SID/EZ","link*")</f>
        <v>link*</v>
      </c>
      <c r="T1128" s="113" t="s">
        <v>51</v>
      </c>
      <c r="U1128" s="79"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V1128" s="77" t="s">
        <v>48</v>
      </c>
    </row>
    <row r="1129" spans="1:22" ht="13" hidden="1">
      <c r="A1129" s="19" t="str">
        <f>HYPERLINK("https://phillipreeve.net/blog/zeiss-batis-apo-sonnar-t-135mm-f2-8/","Zeiss 2.8/135 APO")</f>
        <v>Zeiss 2.8/135 APO</v>
      </c>
      <c r="B1129" s="21">
        <v>614</v>
      </c>
      <c r="C1129" s="23">
        <v>135</v>
      </c>
      <c r="D1129" s="25">
        <v>2.8</v>
      </c>
      <c r="E1129" s="221">
        <v>99</v>
      </c>
      <c r="F1129" s="237">
        <v>120</v>
      </c>
      <c r="G1129" s="35" t="s">
        <v>36</v>
      </c>
      <c r="H1129" s="33" t="s">
        <v>73</v>
      </c>
      <c r="I1129" s="35">
        <v>0.19</v>
      </c>
      <c r="J1129" s="37">
        <v>87</v>
      </c>
      <c r="K1129" s="238" t="s">
        <v>66</v>
      </c>
      <c r="L1129" s="35">
        <v>9</v>
      </c>
      <c r="M1129" s="124">
        <v>43783</v>
      </c>
      <c r="N1129" s="35" t="s">
        <v>87</v>
      </c>
      <c r="O1129" s="42">
        <v>42826</v>
      </c>
      <c r="P1129" s="44">
        <v>1699</v>
      </c>
      <c r="Q1129" s="44">
        <v>1000</v>
      </c>
      <c r="R1129" s="47" t="str">
        <f>HYPERLINK("https://amzn.to/319GJA4","link*")</f>
        <v>link*</v>
      </c>
      <c r="S1129" s="47" t="str">
        <f>HYPERLINK("https://www.bhphotovideo.com/c/product/1330083-REG/zeiss_2136_695_batis_135mm_f_2_8_lens.html/BI/19619/KBID/12129/DFF/d10-v21-t1-x814884/SID/EZ","link*")</f>
        <v>link*</v>
      </c>
      <c r="T1129" s="97" t="s">
        <v>51</v>
      </c>
      <c r="U1129" s="47" t="e">
        <f>HYPERLINK("http://rover.ebay.com/rover/1/711-53200-19255-0/1?icep_ff3=9&amp;pub=5575076376&amp;toolid=10001&amp;campid=5338164340&amp;customid=&amp;icep_uq=zeiss+batis+135+2.8&amp;icep_sellerId=&amp;icep_ex_kw=&amp;icep_sortBy=12&amp;icep_catId=3323&amp;icep_minPrice=&amp;icep_maxPrice=&amp;ipn=psmain&amp;icep_vector"&amp;"id=229466&amp;kwid=902099&amp;mtid=824&amp;kw=lg","link*")</f>
        <v>#VALUE!</v>
      </c>
      <c r="V1129" s="130"/>
    </row>
    <row r="1130" spans="1:22" ht="13" hidden="1">
      <c r="A1130" s="296" t="s">
        <v>186</v>
      </c>
      <c r="B1130" s="133">
        <v>2215</v>
      </c>
      <c r="C1130" s="135">
        <v>200</v>
      </c>
      <c r="D1130" s="137" t="s">
        <v>187</v>
      </c>
      <c r="E1130" s="221">
        <v>112</v>
      </c>
      <c r="F1130" s="237">
        <v>318</v>
      </c>
      <c r="G1130" s="146" t="s">
        <v>36</v>
      </c>
      <c r="H1130" s="299" t="s">
        <v>152</v>
      </c>
      <c r="I1130" s="146">
        <v>0.2</v>
      </c>
      <c r="J1130" s="147">
        <v>240</v>
      </c>
      <c r="K1130" s="294" t="s">
        <v>66</v>
      </c>
      <c r="L1130" s="146">
        <v>11</v>
      </c>
      <c r="M1130" s="300" t="s">
        <v>188</v>
      </c>
      <c r="N1130" s="146" t="s">
        <v>41</v>
      </c>
      <c r="O1130" s="150">
        <v>43647</v>
      </c>
      <c r="P1130" s="151">
        <v>1999</v>
      </c>
      <c r="Q1130" s="151" t="s">
        <v>44</v>
      </c>
      <c r="R1130" s="273"/>
      <c r="S1130" s="154" t="str">
        <f>HYPERLINK("https://www.bhphotovideo.com/c/product/1485540-REG/sony_sel200600g_fe_200_600mm_f_5_6_6_3_g.html/BI/19619/KBID/12129/DFF/d10-v21-t1-x968882/SID/EZ","link*")</f>
        <v>link*</v>
      </c>
      <c r="T1130" s="273" t="s">
        <v>51</v>
      </c>
      <c r="U1130" s="154"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V1130" s="130"/>
    </row>
    <row r="1131" spans="1:22" ht="13" hidden="1">
      <c r="A1131" s="296" t="s">
        <v>189</v>
      </c>
      <c r="B1131" s="133">
        <v>2895</v>
      </c>
      <c r="C1131" s="135">
        <v>400</v>
      </c>
      <c r="D1131" s="137">
        <v>2.8</v>
      </c>
      <c r="E1131" s="221">
        <v>158</v>
      </c>
      <c r="F1131" s="237">
        <v>359</v>
      </c>
      <c r="G1131" s="146" t="s">
        <v>36</v>
      </c>
      <c r="H1131" s="145" t="s">
        <v>190</v>
      </c>
      <c r="I1131" s="146">
        <v>0.16</v>
      </c>
      <c r="J1131" s="147">
        <v>270</v>
      </c>
      <c r="K1131" s="294" t="s">
        <v>66</v>
      </c>
      <c r="L1131" s="146">
        <v>11</v>
      </c>
      <c r="M1131" s="300" t="s">
        <v>191</v>
      </c>
      <c r="N1131" s="146" t="s">
        <v>41</v>
      </c>
      <c r="O1131" s="150">
        <v>43313</v>
      </c>
      <c r="P1131" s="151">
        <v>11999</v>
      </c>
      <c r="Q1131" s="151" t="s">
        <v>44</v>
      </c>
      <c r="R1131" s="273"/>
      <c r="S1131" s="154" t="str">
        <f>HYPERLINK("https://www.bhphotovideo.com/c/product/1369634-REG/sony_fe_400mm_f_2_8_gm.html/BI/19619/KBID/12129/DFF/d10-v21-t1-x905722/SID/EZ","link*")</f>
        <v>link*</v>
      </c>
      <c r="T1131" s="273" t="s">
        <v>51</v>
      </c>
      <c r="U1131" s="154"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V1131" s="130"/>
    </row>
    <row r="1132" spans="1:22" ht="13" hidden="1">
      <c r="A1132" s="301" t="s">
        <v>192</v>
      </c>
      <c r="B1132" s="302">
        <v>3040</v>
      </c>
      <c r="C1132" s="303">
        <v>600</v>
      </c>
      <c r="D1132" s="305">
        <v>4</v>
      </c>
      <c r="E1132" s="194">
        <v>164</v>
      </c>
      <c r="F1132" s="195">
        <v>449</v>
      </c>
      <c r="G1132" s="306" t="s">
        <v>36</v>
      </c>
      <c r="H1132" s="307" t="s">
        <v>26</v>
      </c>
      <c r="I1132" s="306">
        <v>0.14000000000000001</v>
      </c>
      <c r="J1132" s="308">
        <v>451</v>
      </c>
      <c r="K1132" s="158" t="s">
        <v>66</v>
      </c>
      <c r="L1132" s="306">
        <v>11</v>
      </c>
      <c r="M1132" s="309" t="s">
        <v>195</v>
      </c>
      <c r="N1132" s="306" t="s">
        <v>41</v>
      </c>
      <c r="O1132" s="310">
        <v>43678</v>
      </c>
      <c r="P1132" s="311" t="s">
        <v>193</v>
      </c>
      <c r="Q1132" s="311" t="s">
        <v>44</v>
      </c>
      <c r="R1132" s="189"/>
      <c r="S1132" s="69" t="str">
        <f>HYPERLINK("https://www.bhphotovideo.com/c/product/1485539-REG/sony_sel600f40gm_fe_600mm_f_4_gm.html/BI/19619/KBID/12129/DFF/d10-v21-t1-x968881/SID/EZ","link*")</f>
        <v>link*</v>
      </c>
      <c r="T1132" s="189" t="s">
        <v>51</v>
      </c>
      <c r="U1132" s="6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row>
  </sheetData>
  <autoFilter ref="G1:G1132" xr:uid="{00000000-0009-0000-0000-000002000000}">
    <filterColumn colId="0">
      <filters>
        <filter val="MF"/>
      </filters>
    </filterColumn>
  </autoFilter>
  <conditionalFormatting sqref="A1064:A1132">
    <cfRule type="expression" dxfId="399" priority="1">
      <formula>(TODAY()-O1064)&lt;0</formula>
    </cfRule>
  </conditionalFormatting>
  <conditionalFormatting sqref="A1064:A1132">
    <cfRule type="expression" dxfId="398" priority="2">
      <formula>(TODAY()-O1064)&lt;180</formula>
    </cfRule>
  </conditionalFormatting>
  <conditionalFormatting sqref="B1 B3:B1132">
    <cfRule type="cellIs" dxfId="397" priority="3" operator="between">
      <formula>50</formula>
      <formula>200</formula>
    </cfRule>
  </conditionalFormatting>
  <conditionalFormatting sqref="B1 B3:B1132">
    <cfRule type="cellIs" dxfId="396" priority="4" operator="between">
      <formula>201</formula>
      <formula>400</formula>
    </cfRule>
  </conditionalFormatting>
  <conditionalFormatting sqref="B3:B1058 B1064:B1132">
    <cfRule type="cellIs" dxfId="395" priority="5" operator="between">
      <formula>401</formula>
      <formula>650</formula>
    </cfRule>
  </conditionalFormatting>
  <conditionalFormatting sqref="P3:P1058 K1064:K1132">
    <cfRule type="containsText" dxfId="394" priority="6" operator="containsText" text="yes">
      <formula>NOT(ISERROR(SEARCH(("yes"),(P3))))</formula>
    </cfRule>
  </conditionalFormatting>
  <conditionalFormatting sqref="B3:B1058 B1064:B1132">
    <cfRule type="cellIs" dxfId="393" priority="7" operator="greaterThan">
      <formula>900</formula>
    </cfRule>
  </conditionalFormatting>
  <conditionalFormatting sqref="B3:B1058">
    <cfRule type="cellIs" dxfId="392" priority="8" operator="between">
      <formula>651</formula>
      <formula>900</formula>
    </cfRule>
  </conditionalFormatting>
  <conditionalFormatting sqref="F1:F1132">
    <cfRule type="colorScale" priority="9">
      <colorScale>
        <cfvo type="min"/>
        <cfvo type="formula" val="150"/>
        <color rgb="FFEAD1DC"/>
        <color rgb="FFA64D79"/>
      </colorScale>
    </cfRule>
  </conditionalFormatting>
  <conditionalFormatting sqref="D3:D82 D1064:D1132">
    <cfRule type="colorScale" priority="10">
      <colorScale>
        <cfvo type="formula" val="1.2"/>
        <cfvo type="formula" val="4"/>
        <color rgb="FF0B5394"/>
        <color rgb="FFFFFFFF"/>
      </colorScale>
    </cfRule>
  </conditionalFormatting>
  <conditionalFormatting sqref="E3:E82 E1064:E1132">
    <cfRule type="colorScale" priority="11">
      <colorScale>
        <cfvo type="formula" val="65"/>
        <cfvo type="formula" val="100"/>
        <color rgb="FFD9D2E9"/>
        <color rgb="FF674EA7"/>
      </colorScale>
    </cfRule>
  </conditionalFormatting>
  <conditionalFormatting sqref="D3:D82 D1064:D1132">
    <cfRule type="containsText" dxfId="391" priority="12" operator="containsText" text="1.2">
      <formula>NOT(ISERROR(SEARCH(("1.2"),(D3))))</formula>
    </cfRule>
  </conditionalFormatting>
  <conditionalFormatting sqref="E3:E82">
    <cfRule type="colorScale" priority="13">
      <colorScale>
        <cfvo type="formula" val="65"/>
        <cfvo type="formula" val="100"/>
        <color rgb="FFD9D2E9"/>
        <color rgb="FF674EA7"/>
      </colorScale>
    </cfRule>
  </conditionalFormatting>
  <conditionalFormatting sqref="D3:D82 D1064:D1132">
    <cfRule type="containsText" dxfId="390" priority="14" operator="containsText" text="1.4">
      <formula>NOT(ISERROR(SEARCH(("1.4"),(D3))))</formula>
    </cfRule>
  </conditionalFormatting>
  <conditionalFormatting sqref="D3:D101 D1064:D1132">
    <cfRule type="containsText" dxfId="389" priority="15" operator="containsText" text="1.8">
      <formula>NOT(ISERROR(SEARCH(("1.8"),(D3))))</formula>
    </cfRule>
  </conditionalFormatting>
  <conditionalFormatting sqref="G3:G102 G1064:G1132">
    <cfRule type="cellIs" dxfId="388" priority="16" operator="equal">
      <formula>"MF"</formula>
    </cfRule>
  </conditionalFormatting>
  <conditionalFormatting sqref="I3:I102 I1064:I1132">
    <cfRule type="cellIs" dxfId="387" priority="17" operator="between">
      <formula>0.24</formula>
      <formula>0.45</formula>
    </cfRule>
  </conditionalFormatting>
  <conditionalFormatting sqref="I3:I102 I1064:I1132">
    <cfRule type="cellIs" dxfId="386" priority="18" operator="between">
      <formula>0.45</formula>
      <formula>0.99</formula>
    </cfRule>
  </conditionalFormatting>
  <conditionalFormatting sqref="I3:I102 I1064:I1132">
    <cfRule type="cellIs" dxfId="385" priority="19" operator="greaterThan">
      <formula>0.99</formula>
    </cfRule>
  </conditionalFormatting>
  <conditionalFormatting sqref="D3:D82">
    <cfRule type="containsText" dxfId="384" priority="20" operator="containsText" text="1.4">
      <formula>NOT(ISERROR(SEARCH(("1.4"),(D3))))</formula>
    </cfRule>
  </conditionalFormatting>
  <conditionalFormatting sqref="D3:D101">
    <cfRule type="containsText" dxfId="383" priority="21" operator="containsText" text="1.8">
      <formula>NOT(ISERROR(SEARCH(("1.8"),(D3))))</formula>
    </cfRule>
  </conditionalFormatting>
  <conditionalFormatting sqref="D3:D82">
    <cfRule type="containsText" dxfId="382" priority="22" operator="containsText" text="1.4">
      <formula>NOT(ISERROR(SEARCH(("1.4"),(D3))))</formula>
    </cfRule>
  </conditionalFormatting>
  <conditionalFormatting sqref="D3:D101">
    <cfRule type="containsText" dxfId="381" priority="23" operator="containsText" text="1.8">
      <formula>NOT(ISERROR(SEARCH(("1.8"),(D3))))</formula>
    </cfRule>
  </conditionalFormatting>
  <conditionalFormatting sqref="D3:D82">
    <cfRule type="containsText" dxfId="380" priority="24" operator="containsText" text="1.4">
      <formula>NOT(ISERROR(SEARCH(("1.4"),(D3))))</formula>
    </cfRule>
  </conditionalFormatting>
  <conditionalFormatting sqref="D3:D101">
    <cfRule type="containsText" dxfId="379" priority="25" operator="containsText" text="1.8">
      <formula>NOT(ISERROR(SEARCH(("1.8"),(D3))))</formula>
    </cfRule>
  </conditionalFormatting>
  <conditionalFormatting sqref="D3:D82">
    <cfRule type="containsText" dxfId="378" priority="26" operator="containsText" text="1.4">
      <formula>NOT(ISERROR(SEARCH(("1.4"),(D3))))</formula>
    </cfRule>
  </conditionalFormatting>
  <conditionalFormatting sqref="D3:D101">
    <cfRule type="containsText" dxfId="377" priority="27" operator="containsText" text="1.8">
      <formula>NOT(ISERROR(SEARCH(("1.8"),(D3))))</formula>
    </cfRule>
  </conditionalFormatting>
  <conditionalFormatting sqref="D3:D82">
    <cfRule type="containsText" dxfId="376" priority="28" operator="containsText" text="1.4">
      <formula>NOT(ISERROR(SEARCH(("1.4"),(D3))))</formula>
    </cfRule>
  </conditionalFormatting>
  <conditionalFormatting sqref="D3:D101">
    <cfRule type="containsText" dxfId="375" priority="29" operator="containsText" text="1.8">
      <formula>NOT(ISERROR(SEARCH(("1.8"),(D3))))</formula>
    </cfRule>
  </conditionalFormatting>
  <conditionalFormatting sqref="D3:D82">
    <cfRule type="containsText" dxfId="374" priority="30" operator="containsText" text="1.4">
      <formula>NOT(ISERROR(SEARCH(("1.4"),(D3))))</formula>
    </cfRule>
  </conditionalFormatting>
  <conditionalFormatting sqref="D3:D101">
    <cfRule type="containsText" dxfId="373" priority="31" operator="containsText" text="1.8">
      <formula>NOT(ISERROR(SEARCH(("1.8"),(D3))))</formula>
    </cfRule>
  </conditionalFormatting>
  <conditionalFormatting sqref="D3:D82">
    <cfRule type="containsText" dxfId="372" priority="32" operator="containsText" text="1.4">
      <formula>NOT(ISERROR(SEARCH(("1.4"),(D3))))</formula>
    </cfRule>
  </conditionalFormatting>
  <conditionalFormatting sqref="D3:D101">
    <cfRule type="containsText" dxfId="371" priority="33" operator="containsText" text="1.8">
      <formula>NOT(ISERROR(SEARCH(("1.8"),(D3))))</formula>
    </cfRule>
  </conditionalFormatting>
  <conditionalFormatting sqref="D3:D82">
    <cfRule type="containsText" dxfId="370" priority="34" operator="containsText" text="1.4">
      <formula>NOT(ISERROR(SEARCH(("1.4"),(D3))))</formula>
    </cfRule>
  </conditionalFormatting>
  <conditionalFormatting sqref="D3:D101">
    <cfRule type="containsText" dxfId="369" priority="35" operator="containsText" text="1.8">
      <formula>NOT(ISERROR(SEARCH(("1.8"),(D3))))</formula>
    </cfRule>
  </conditionalFormatting>
  <conditionalFormatting sqref="D3:D82">
    <cfRule type="containsText" dxfId="368" priority="36" operator="containsText" text="1.4">
      <formula>NOT(ISERROR(SEARCH(("1.4"),(D3))))</formula>
    </cfRule>
  </conditionalFormatting>
  <conditionalFormatting sqref="D3:D101">
    <cfRule type="containsText" dxfId="367" priority="37" operator="containsText" text="1.8">
      <formula>NOT(ISERROR(SEARCH(("1.8"),(D3))))</formula>
    </cfRule>
  </conditionalFormatting>
  <conditionalFormatting sqref="D3:D82">
    <cfRule type="containsText" dxfId="366" priority="38" operator="containsText" text="1.4">
      <formula>NOT(ISERROR(SEARCH(("1.4"),(D3))))</formula>
    </cfRule>
  </conditionalFormatting>
  <conditionalFormatting sqref="D3:D101">
    <cfRule type="containsText" dxfId="365" priority="39" operator="containsText" text="1.8">
      <formula>NOT(ISERROR(SEARCH(("1.8"),(D3))))</formula>
    </cfRule>
  </conditionalFormatting>
  <conditionalFormatting sqref="D3:D82">
    <cfRule type="containsText" dxfId="364" priority="40" operator="containsText" text="1.4">
      <formula>NOT(ISERROR(SEARCH(("1.4"),(D3))))</formula>
    </cfRule>
  </conditionalFormatting>
  <conditionalFormatting sqref="D3:D101">
    <cfRule type="containsText" dxfId="363" priority="41" operator="containsText" text="1.8">
      <formula>NOT(ISERROR(SEARCH(("1.8"),(D3))))</formula>
    </cfRule>
  </conditionalFormatting>
  <conditionalFormatting sqref="D3:D82">
    <cfRule type="containsText" dxfId="362" priority="42" operator="containsText" text="1.4">
      <formula>NOT(ISERROR(SEARCH(("1.4"),(D3))))</formula>
    </cfRule>
  </conditionalFormatting>
  <conditionalFormatting sqref="D3:D101">
    <cfRule type="containsText" dxfId="361" priority="43" operator="containsText" text="1.8">
      <formula>NOT(ISERROR(SEARCH(("1.8"),(D3))))</formula>
    </cfRule>
  </conditionalFormatting>
  <conditionalFormatting sqref="D3:D82">
    <cfRule type="containsText" dxfId="360" priority="44" operator="containsText" text="1.4">
      <formula>NOT(ISERROR(SEARCH(("1.4"),(D3))))</formula>
    </cfRule>
  </conditionalFormatting>
  <conditionalFormatting sqref="D3:D101">
    <cfRule type="containsText" dxfId="359" priority="45" operator="containsText" text="1.8">
      <formula>NOT(ISERROR(SEARCH(("1.8"),(D3))))</formula>
    </cfRule>
  </conditionalFormatting>
  <conditionalFormatting sqref="A3:A100">
    <cfRule type="expression" dxfId="358" priority="46">
      <formula>(TODAY()-T3)&lt;0</formula>
    </cfRule>
  </conditionalFormatting>
  <conditionalFormatting sqref="A3:A100">
    <cfRule type="expression" dxfId="357" priority="47">
      <formula>(TODAY()-T3)&lt;180</formula>
    </cfRule>
  </conditionalFormatting>
  <conditionalFormatting sqref="G3:G102">
    <cfRule type="cellIs" dxfId="356" priority="48" operator="equal">
      <formula>"MF"</formula>
    </cfRule>
  </conditionalFormatting>
  <conditionalFormatting sqref="I3:I102">
    <cfRule type="cellIs" dxfId="355" priority="49" operator="between">
      <formula>0.24</formula>
      <formula>0.45</formula>
    </cfRule>
  </conditionalFormatting>
  <conditionalFormatting sqref="I3:I102">
    <cfRule type="cellIs" dxfId="354" priority="50" operator="between">
      <formula>0.45</formula>
      <formula>0.99</formula>
    </cfRule>
  </conditionalFormatting>
  <conditionalFormatting sqref="I3:I102">
    <cfRule type="cellIs" dxfId="353" priority="51" operator="greaterThan">
      <formula>0.99</formula>
    </cfRule>
  </conditionalFormatting>
  <dataValidations count="1">
    <dataValidation type="list" allowBlank="1" sqref="N3 S4 N5 S6:S8 N9 S10:S15 N16:N17 S18 N19:N21 S22:S29 N30 S31:S38 N39 S40:S41 N42 S43:S44 N45 S46:S49 N50 S51:S54 N55 S56:S57 N58 S59:S67 N68 S69 N70 S71:S75 N76 S77:S82 N1064:N1132" xr:uid="{00000000-0002-0000-0200-000000000000}">
      <formula1>"Sony,Voigtlander,Zeiss,Sigma,Samyang,Viltrox,Tokina,Tamron"</formula1>
    </dataValidation>
  </dataValidations>
  <hyperlinks>
    <hyperlink ref="K1" r:id="rId1" xr:uid="{00000000-0004-0000-0200-000000000000}"/>
    <hyperlink ref="M1" r:id="rId2" xr:uid="{00000000-0004-0000-0200-000001000000}"/>
    <hyperlink ref="N1"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outlinePr summaryBelow="0" summaryRight="0"/>
  </sheetPr>
  <dimension ref="A1:V106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9.1640625" customWidth="1"/>
    <col min="2" max="2" width="6.5" customWidth="1"/>
    <col min="3" max="3" width="8.1640625" customWidth="1"/>
    <col min="4" max="4" width="8" customWidth="1"/>
    <col min="5" max="6" width="7.33203125" customWidth="1"/>
    <col min="7" max="7" width="4" customWidth="1"/>
    <col min="8" max="8" width="7.1640625" customWidth="1"/>
    <col min="9" max="9" width="4.5" customWidth="1"/>
    <col min="10" max="10" width="7.6640625" customWidth="1"/>
    <col min="11" max="14" width="4" customWidth="1"/>
    <col min="15" max="15" width="7.5" customWidth="1"/>
    <col min="16" max="16" width="5.5" customWidth="1"/>
    <col min="17" max="17" width="5" customWidth="1"/>
    <col min="18" max="18" width="6.1640625" customWidth="1"/>
    <col min="19" max="19" width="13.33203125" customWidth="1"/>
    <col min="20" max="20" width="7.5" customWidth="1"/>
  </cols>
  <sheetData>
    <row r="1" spans="1:22" ht="76.5" customHeight="1">
      <c r="A1" s="1" t="s">
        <v>0</v>
      </c>
      <c r="B1" s="2" t="s">
        <v>1</v>
      </c>
      <c r="C1" s="3" t="s">
        <v>2</v>
      </c>
      <c r="D1" s="4" t="s">
        <v>3</v>
      </c>
      <c r="E1" s="5" t="s">
        <v>4</v>
      </c>
      <c r="F1" s="6" t="s">
        <v>5</v>
      </c>
      <c r="G1" s="7" t="s">
        <v>6</v>
      </c>
      <c r="H1" s="8" t="s">
        <v>7</v>
      </c>
      <c r="I1" s="3" t="s">
        <v>8</v>
      </c>
      <c r="J1" s="9" t="s">
        <v>9</v>
      </c>
      <c r="K1" s="10" t="s">
        <v>18</v>
      </c>
      <c r="L1" s="11" t="s">
        <v>19</v>
      </c>
      <c r="M1" s="10" t="s">
        <v>20</v>
      </c>
      <c r="N1" s="12" t="s">
        <v>21</v>
      </c>
      <c r="O1" s="3" t="s">
        <v>10</v>
      </c>
      <c r="P1" s="5" t="s">
        <v>11</v>
      </c>
      <c r="Q1" s="3" t="s">
        <v>12</v>
      </c>
      <c r="R1" s="3" t="s">
        <v>13</v>
      </c>
      <c r="S1" s="3" t="s">
        <v>14</v>
      </c>
      <c r="T1" s="3" t="s">
        <v>15</v>
      </c>
      <c r="U1" s="13" t="s">
        <v>22</v>
      </c>
    </row>
    <row r="2" spans="1:22" ht="18" hidden="1" customHeight="1">
      <c r="A2" s="14" t="s">
        <v>23</v>
      </c>
      <c r="B2" s="15"/>
      <c r="C2" s="15"/>
      <c r="D2" s="15"/>
      <c r="E2" s="15"/>
      <c r="F2" s="15"/>
      <c r="G2" s="16"/>
      <c r="H2" s="17"/>
      <c r="I2" s="15"/>
      <c r="J2" s="15"/>
      <c r="K2" s="15"/>
      <c r="L2" s="15"/>
      <c r="M2" s="15"/>
      <c r="N2" s="15"/>
      <c r="O2" s="15"/>
      <c r="P2" s="16"/>
      <c r="Q2" s="15"/>
      <c r="R2" s="16"/>
      <c r="S2" s="18"/>
      <c r="T2" s="16"/>
    </row>
    <row r="3" spans="1:22" ht="13" hidden="1">
      <c r="A3" s="126" t="str">
        <f>HYPERLINK("https://phillipreeve.net/blog/review-voigtlander-10mm-5-6-e-hyper-wide-heliar/","Voigtlander 10mm F5.6 Hyper Wide ")</f>
        <v xml:space="preserve">Voigtlander 10mm F5.6 Hyper Wide </v>
      </c>
      <c r="B3" s="60">
        <v>375</v>
      </c>
      <c r="C3" s="62">
        <v>10</v>
      </c>
      <c r="D3" s="64">
        <v>5.6</v>
      </c>
      <c r="E3" s="245">
        <v>67</v>
      </c>
      <c r="F3" s="246" t="s">
        <v>24</v>
      </c>
      <c r="G3" s="247" t="s">
        <v>25</v>
      </c>
      <c r="H3" s="72" t="s">
        <v>26</v>
      </c>
      <c r="I3" s="74">
        <v>6.7000000000000004E-2</v>
      </c>
      <c r="J3" s="76">
        <v>1099</v>
      </c>
      <c r="K3" s="79" t="str">
        <f>HYPERLINK("https://amzn.to/2jJ8WxH","link*")</f>
        <v>link*</v>
      </c>
      <c r="L3" s="79" t="str">
        <f>HYPERLINK("https://www.bhphotovideo.com/c/product/1219550-REG/voigtlander_ba334b_heliar_hyper_wide_10mm_f_5_6.html/BI/19619/KBID/12129/DFF/d10-v21-t1-x732282/SID/EZ","link*")</f>
        <v>link*</v>
      </c>
      <c r="M3" s="79" t="str">
        <f>HYPERLINK("https://amzn.to/2jG72hr","link*")</f>
        <v>link*</v>
      </c>
      <c r="N3" s="79"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O3" s="84">
        <v>30</v>
      </c>
      <c r="P3" s="70" t="s">
        <v>27</v>
      </c>
      <c r="Q3" s="74">
        <v>10</v>
      </c>
      <c r="R3" s="86" t="s">
        <v>28</v>
      </c>
      <c r="S3" s="74" t="s">
        <v>29</v>
      </c>
      <c r="T3" s="88">
        <v>42552</v>
      </c>
      <c r="U3" s="77" t="s">
        <v>34</v>
      </c>
    </row>
    <row r="4" spans="1:22" ht="13">
      <c r="A4" s="58" t="s">
        <v>35</v>
      </c>
      <c r="B4" s="60">
        <v>565</v>
      </c>
      <c r="C4" s="62">
        <v>12</v>
      </c>
      <c r="D4" s="64">
        <v>4</v>
      </c>
      <c r="E4" s="65">
        <v>87</v>
      </c>
      <c r="F4" s="67">
        <v>117</v>
      </c>
      <c r="G4" s="70" t="s">
        <v>36</v>
      </c>
      <c r="H4" s="72" t="s">
        <v>26</v>
      </c>
      <c r="I4" s="74">
        <v>0.14000000000000001</v>
      </c>
      <c r="J4" s="76">
        <v>1699</v>
      </c>
      <c r="K4" s="79" t="str">
        <f>HYPERLINK("https://amzn.to/2SSzKc4","link*")</f>
        <v>link*</v>
      </c>
      <c r="L4" s="79" t="str">
        <f>HYPERLINK("https://www.bhphotovideo.com/c/product/1338517-REG/sony_sel1224g_fe_12_24mm_f_4_g.html/BI/19619/KBID/12129/DFF/d10-v21-t1-x822838/SID/EZ","link*")</f>
        <v>link*</v>
      </c>
      <c r="M4" s="79" t="str">
        <f>HYPERLINK("https://amzn.to/2Kg94zb","link*")</f>
        <v>link*</v>
      </c>
      <c r="N4" s="79"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4" s="84">
        <v>24</v>
      </c>
      <c r="P4" s="70" t="s">
        <v>27</v>
      </c>
      <c r="Q4" s="74">
        <v>7</v>
      </c>
      <c r="R4" s="86" t="s">
        <v>40</v>
      </c>
      <c r="S4" s="74" t="s">
        <v>41</v>
      </c>
      <c r="T4" s="88">
        <v>42856</v>
      </c>
    </row>
    <row r="5" spans="1:22" ht="13" hidden="1">
      <c r="A5" s="126" t="str">
        <f>HYPERLINK("https://phillipreeve.net/blog/review-voigtlander-12mm-5-6-aspherical-ultra-wide-heliar/","Voigtlander 12mm F5.6 Ultra Wide-Heliar Aspherical")</f>
        <v>Voigtlander 12mm F5.6 Ultra Wide-Heliar Aspherical</v>
      </c>
      <c r="B5" s="60">
        <v>350</v>
      </c>
      <c r="C5" s="62">
        <v>12</v>
      </c>
      <c r="D5" s="64">
        <v>5.6</v>
      </c>
      <c r="E5" s="248">
        <v>67</v>
      </c>
      <c r="F5" s="246">
        <v>68</v>
      </c>
      <c r="G5" s="70" t="s">
        <v>25</v>
      </c>
      <c r="H5" s="72" t="s">
        <v>26</v>
      </c>
      <c r="I5" s="74"/>
      <c r="J5" s="76">
        <v>749</v>
      </c>
      <c r="K5" s="113"/>
      <c r="L5" s="113"/>
      <c r="M5" s="113"/>
      <c r="N5" s="79"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O5" s="84">
        <v>30</v>
      </c>
      <c r="P5" s="70" t="s">
        <v>27</v>
      </c>
      <c r="Q5" s="74">
        <v>10</v>
      </c>
      <c r="R5" s="86" t="s">
        <v>43</v>
      </c>
      <c r="S5" s="74" t="s">
        <v>29</v>
      </c>
      <c r="T5" s="88">
        <v>42583</v>
      </c>
      <c r="U5" s="77" t="s">
        <v>46</v>
      </c>
    </row>
    <row r="6" spans="1:22" ht="13">
      <c r="A6" s="58" t="s">
        <v>45</v>
      </c>
      <c r="B6" s="60">
        <v>1170</v>
      </c>
      <c r="C6" s="62">
        <v>14</v>
      </c>
      <c r="D6" s="100">
        <v>1.8</v>
      </c>
      <c r="E6" s="101">
        <v>95</v>
      </c>
      <c r="F6" s="103">
        <v>126</v>
      </c>
      <c r="G6" s="74" t="s">
        <v>36</v>
      </c>
      <c r="H6" s="72" t="s">
        <v>26</v>
      </c>
      <c r="I6" s="74">
        <v>0.1</v>
      </c>
      <c r="J6" s="76">
        <v>1599</v>
      </c>
      <c r="K6" s="79" t="str">
        <f>HYPERLINK("https://amzn.to/2SOWTvV","link*")</f>
        <v>link*</v>
      </c>
      <c r="L6" s="79" t="str">
        <f>HYPERLINK("https://www.bhphotovideo.com/c/product/1393489-REG/sigma_14mm_f_1_8_dg_hsm.html/BI/19619/KBID/12129/DFF/d10-v21-t1-x881154/SID/EZ","link*")</f>
        <v>link*</v>
      </c>
      <c r="M6" s="79" t="str">
        <f>HYPERLINK("https://amzn.to/2ZDl4QJ","link*")</f>
        <v>link*</v>
      </c>
      <c r="N6" s="79"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O6" s="84">
        <v>27</v>
      </c>
      <c r="P6" s="70" t="s">
        <v>27</v>
      </c>
      <c r="Q6" s="74">
        <v>9</v>
      </c>
      <c r="R6" s="112">
        <v>43785</v>
      </c>
      <c r="S6" s="74" t="s">
        <v>47</v>
      </c>
      <c r="T6" s="88">
        <v>43221</v>
      </c>
      <c r="U6" s="77" t="s">
        <v>48</v>
      </c>
    </row>
    <row r="7" spans="1:22" ht="13">
      <c r="A7" s="58" t="s">
        <v>49</v>
      </c>
      <c r="B7" s="60">
        <v>795</v>
      </c>
      <c r="C7" s="62">
        <v>14</v>
      </c>
      <c r="D7" s="64">
        <v>2.8</v>
      </c>
      <c r="E7" s="65">
        <v>85</v>
      </c>
      <c r="F7" s="103">
        <v>131</v>
      </c>
      <c r="G7" s="74" t="s">
        <v>36</v>
      </c>
      <c r="H7" s="72" t="s">
        <v>26</v>
      </c>
      <c r="I7" s="74">
        <v>0.14000000000000001</v>
      </c>
      <c r="J7" s="76">
        <v>1399</v>
      </c>
      <c r="K7" s="79" t="str">
        <f>HYPERLINK("https://amzn.to/2zt8rMC","link*")</f>
        <v>link*</v>
      </c>
      <c r="L7" s="79" t="str">
        <f>HYPERLINK("https://www.bhphotovideo.com/c/product/1492972-REG/sigma_213965_14_24mm_f_2_8_dg_dn.html/BI/19619/KBID/12129/DFF/d10-v21-t1-x976041/SID/EZ","link*")</f>
        <v>link*</v>
      </c>
      <c r="M7" s="113" t="s">
        <v>51</v>
      </c>
      <c r="N7" s="79"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O7" s="84">
        <v>28</v>
      </c>
      <c r="P7" s="70" t="s">
        <v>27</v>
      </c>
      <c r="Q7" s="74">
        <v>11</v>
      </c>
      <c r="R7" s="115" t="s">
        <v>54</v>
      </c>
      <c r="S7" s="74" t="s">
        <v>47</v>
      </c>
      <c r="T7" s="88">
        <v>43739</v>
      </c>
      <c r="U7" s="77" t="s">
        <v>55</v>
      </c>
    </row>
    <row r="8" spans="1:22" ht="13">
      <c r="A8" s="58" t="s">
        <v>56</v>
      </c>
      <c r="B8" s="60">
        <v>505</v>
      </c>
      <c r="C8" s="62">
        <v>14</v>
      </c>
      <c r="D8" s="64">
        <v>2.8</v>
      </c>
      <c r="E8" s="65">
        <v>86</v>
      </c>
      <c r="F8" s="67">
        <v>98</v>
      </c>
      <c r="G8" s="74" t="s">
        <v>36</v>
      </c>
      <c r="H8" s="72" t="s">
        <v>26</v>
      </c>
      <c r="I8" s="74">
        <v>0.12</v>
      </c>
      <c r="J8" s="76">
        <v>799</v>
      </c>
      <c r="K8" s="79" t="str">
        <f>HYPERLINK("https://amzn.to/2SX2HUi","link*")</f>
        <v>link*</v>
      </c>
      <c r="L8" s="79" t="str">
        <f>HYPERLINK("https://www.bhphotovideo.com/c/product/1352863-REG/samyang_syio14af_e_14mm_f_2_8_f_f_wide.html/BI/19619/KBID/12129/DFF/d10-v21-t1-x837928/SID/EZ","link*")</f>
        <v>link*</v>
      </c>
      <c r="M8" s="79" t="str">
        <f>HYPERLINK("https://amzn.to/31hwSIL","link*")</f>
        <v>link*</v>
      </c>
      <c r="N8" s="79"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8" s="84">
        <v>20</v>
      </c>
      <c r="P8" s="70" t="s">
        <v>27</v>
      </c>
      <c r="Q8" s="74">
        <v>7</v>
      </c>
      <c r="R8" s="112">
        <v>43752</v>
      </c>
      <c r="S8" s="74" t="s">
        <v>38</v>
      </c>
      <c r="T8" s="88">
        <v>43221</v>
      </c>
    </row>
    <row r="9" spans="1:22" ht="13" hidden="1">
      <c r="A9" s="126" t="str">
        <f>HYPERLINK("https://phillipreeve.net/blog/review-voigtlander-15mm-4-5-e-super-wide-heliar/","Voigtlander 15mm F4.5 Super Wide Heliar")</f>
        <v>Voigtlander 15mm F4.5 Super Wide Heliar</v>
      </c>
      <c r="B9" s="60">
        <v>298</v>
      </c>
      <c r="C9" s="62">
        <v>15</v>
      </c>
      <c r="D9" s="64">
        <v>4.5</v>
      </c>
      <c r="E9" s="248">
        <v>67</v>
      </c>
      <c r="F9" s="246">
        <v>62</v>
      </c>
      <c r="G9" s="70" t="s">
        <v>25</v>
      </c>
      <c r="H9" s="72" t="s">
        <v>71</v>
      </c>
      <c r="I9" s="74">
        <v>8.3000000000000004E-2</v>
      </c>
      <c r="J9" s="76">
        <v>799</v>
      </c>
      <c r="K9" s="79" t="str">
        <f>HYPERLINK("https://amzn.to/2YwplrQ","link*")</f>
        <v>link*</v>
      </c>
      <c r="L9" s="79" t="str">
        <f>HYPERLINK("https://www.bhphotovideo.com/c/product/1219549-REG/voigtlander_ba329b_super_wide_heliar_15mm_f_4_5.html/BI/19619/KBID/12129/DFF/d10-v21-t1-x618202/SID/EZ","link*")</f>
        <v>link*</v>
      </c>
      <c r="M9" s="79" t="str">
        <f>HYPERLINK("https://amzn.to/2ZpTKt5","link*")</f>
        <v>link*</v>
      </c>
      <c r="N9" s="79"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O9" s="84">
        <v>30</v>
      </c>
      <c r="P9" s="70" t="s">
        <v>27</v>
      </c>
      <c r="Q9" s="74">
        <v>10</v>
      </c>
      <c r="R9" s="136" t="s">
        <v>43</v>
      </c>
      <c r="S9" s="74" t="s">
        <v>29</v>
      </c>
      <c r="T9" s="88">
        <v>42401</v>
      </c>
    </row>
    <row r="10" spans="1:22" ht="13">
      <c r="A10" s="126" t="str">
        <f>HYPERLINK("https://phillipreeve.net/blog/sony-fe-16-35mm-f4-za-t-review/","Sony ZA 4/16-35 OSS ")</f>
        <v xml:space="preserve">Sony ZA 4/16-35 OSS </v>
      </c>
      <c r="B10" s="60">
        <v>523</v>
      </c>
      <c r="C10" s="62">
        <v>16</v>
      </c>
      <c r="D10" s="64">
        <v>4</v>
      </c>
      <c r="E10" s="65">
        <v>78</v>
      </c>
      <c r="F10" s="67">
        <v>98</v>
      </c>
      <c r="G10" s="70" t="s">
        <v>36</v>
      </c>
      <c r="H10" s="72" t="s">
        <v>64</v>
      </c>
      <c r="I10" s="74">
        <v>0.19</v>
      </c>
      <c r="J10" s="76">
        <v>1349</v>
      </c>
      <c r="K10" s="79" t="str">
        <f>HYPERLINK("http://amzn.to/2v2sY7q","link*")</f>
        <v>link*</v>
      </c>
      <c r="L10" s="79" t="str">
        <f>HYPERLINK("https://www.bhphotovideo.com/c/product/1380866-REG/sony_16_35mm_f_4_vario_tsr.html/BI/19619/KBID/12129/kw/SO16354F/DFF/d10-v2-t1-xSO16354F","link*")</f>
        <v>link*</v>
      </c>
      <c r="M10" s="79" t="str">
        <f>HYPERLINK("http://amzn.to/2wyMLuP","link*")</f>
        <v>link*</v>
      </c>
      <c r="N10" s="7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10" s="84">
        <v>28</v>
      </c>
      <c r="P10" s="134" t="s">
        <v>66</v>
      </c>
      <c r="Q10" s="74">
        <v>7</v>
      </c>
      <c r="R10" s="136" t="s">
        <v>43</v>
      </c>
      <c r="S10" s="74" t="s">
        <v>41</v>
      </c>
      <c r="T10" s="88">
        <v>41883</v>
      </c>
    </row>
    <row r="11" spans="1:22" ht="13">
      <c r="A11" s="58" t="s">
        <v>67</v>
      </c>
      <c r="B11" s="60">
        <v>680</v>
      </c>
      <c r="C11" s="62">
        <v>16</v>
      </c>
      <c r="D11" s="64">
        <v>2.8</v>
      </c>
      <c r="E11" s="65">
        <v>89</v>
      </c>
      <c r="F11" s="67">
        <v>122</v>
      </c>
      <c r="G11" s="70" t="s">
        <v>36</v>
      </c>
      <c r="H11" s="72" t="s">
        <v>68</v>
      </c>
      <c r="I11" s="74">
        <v>0.19</v>
      </c>
      <c r="J11" s="76">
        <v>2199</v>
      </c>
      <c r="K11" s="79" t="str">
        <f>HYPERLINK("https://amzn.to/2SR0IRl","link*")</f>
        <v>link*</v>
      </c>
      <c r="L11" s="79" t="str">
        <f>HYPERLINK("https://www.bhphotovideo.com/c/product/1338516-REG/sony_sel1635gm_fe_16_35mm_f_2_8_gm.html/BI/19619/KBID/12129/DFF/d10-v21-t1-x822837/SID/EZ","link*")</f>
        <v>link*</v>
      </c>
      <c r="M11" s="79" t="str">
        <f>HYPERLINK("https://amzn.to/2T1ZxOU","link*")</f>
        <v>link*</v>
      </c>
      <c r="N11" s="79"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11" s="84">
        <v>28</v>
      </c>
      <c r="P11" s="70" t="s">
        <v>27</v>
      </c>
      <c r="Q11" s="74">
        <v>11</v>
      </c>
      <c r="R11" s="136" t="s">
        <v>72</v>
      </c>
      <c r="S11" s="74" t="s">
        <v>41</v>
      </c>
      <c r="T11" s="88">
        <v>42856</v>
      </c>
    </row>
    <row r="12" spans="1:22" ht="13">
      <c r="A12" s="126" t="str">
        <f>HYPERLINK("https://phillipreeve.net/blog/review-tamron-17-28mm-f-2-8-di-iii-rxd/","Tamron 17-28mm f/2.8 Di III RXD")</f>
        <v>Tamron 17-28mm f/2.8 Di III RXD</v>
      </c>
      <c r="B12" s="60">
        <v>420</v>
      </c>
      <c r="C12" s="62">
        <v>17</v>
      </c>
      <c r="D12" s="64">
        <v>2.8</v>
      </c>
      <c r="E12" s="152">
        <v>73</v>
      </c>
      <c r="F12" s="67">
        <v>99</v>
      </c>
      <c r="G12" s="70" t="s">
        <v>36</v>
      </c>
      <c r="H12" s="72" t="s">
        <v>73</v>
      </c>
      <c r="I12" s="74">
        <v>0.19</v>
      </c>
      <c r="J12" s="156">
        <v>899</v>
      </c>
      <c r="K12" s="79" t="str">
        <f>HYPERLINK("https://amzn.to/2Hv3AyB","link*")</f>
        <v>link*</v>
      </c>
      <c r="L12" s="79" t="str">
        <f>HYPERLINK("https://www.bhphotovideo.com/c/product/1461529-REG/tamron_a046_17_28mm_f_2_8_di_iii.html/BI/19619/KBID/12129/DFF/d10-v21-t1-x946694/SID/EZ","link*")</f>
        <v>link*</v>
      </c>
      <c r="M12" s="79" t="str">
        <f>HYPERLINK("https://amzn.to/2YkrkQB","link*")</f>
        <v>link*</v>
      </c>
      <c r="N12" s="79"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12" s="84">
        <v>19</v>
      </c>
      <c r="P12" s="70" t="s">
        <v>27</v>
      </c>
      <c r="Q12" s="74">
        <v>9</v>
      </c>
      <c r="R12" s="136" t="s">
        <v>77</v>
      </c>
      <c r="S12" s="74" t="s">
        <v>78</v>
      </c>
      <c r="T12" s="88">
        <v>43647</v>
      </c>
      <c r="V12" s="160"/>
    </row>
    <row r="13" spans="1:22" ht="13">
      <c r="A13" s="126" t="str">
        <f>HYPERLINK("https://phillipreeve.net/blog/review-zeiss-batis-18mm-2-8/","Zeiss Batis 2.8/18")</f>
        <v>Zeiss Batis 2.8/18</v>
      </c>
      <c r="B13" s="60">
        <v>330</v>
      </c>
      <c r="C13" s="62">
        <v>18</v>
      </c>
      <c r="D13" s="64">
        <v>2.8</v>
      </c>
      <c r="E13" s="65">
        <v>100</v>
      </c>
      <c r="F13" s="67">
        <v>80</v>
      </c>
      <c r="G13" s="70" t="s">
        <v>36</v>
      </c>
      <c r="H13" s="72" t="s">
        <v>80</v>
      </c>
      <c r="I13" s="74">
        <v>0.1</v>
      </c>
      <c r="J13" s="76">
        <v>1499</v>
      </c>
      <c r="K13" s="79" t="str">
        <f>HYPERLINK("https://amzn.to/2SRFBhL","link*")</f>
        <v>link*</v>
      </c>
      <c r="L13" s="79" t="str">
        <f>HYPERLINK("https://www.bhphotovideo.com/c/product/1243591-REG/zeiss_2136_691_batis_18mm_f_2_8_lens.html/BI/19619/KBID/12129/DFF/d10-v21-t1-x727488/SID/EZ","link*")</f>
        <v>link*</v>
      </c>
      <c r="M13" s="79" t="str">
        <f>HYPERLINK("https://amzn.to/334PqNT","link*")</f>
        <v>link*</v>
      </c>
      <c r="N13" s="7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13" s="84">
        <v>25</v>
      </c>
      <c r="P13" s="70" t="s">
        <v>27</v>
      </c>
      <c r="Q13" s="74">
        <v>9</v>
      </c>
      <c r="R13" s="136" t="s">
        <v>86</v>
      </c>
      <c r="S13" s="74" t="s">
        <v>87</v>
      </c>
      <c r="T13" s="88">
        <v>42491</v>
      </c>
    </row>
    <row r="14" spans="1:22" ht="13">
      <c r="A14" s="163" t="s">
        <v>88</v>
      </c>
      <c r="B14" s="60">
        <v>145</v>
      </c>
      <c r="C14" s="62">
        <v>18</v>
      </c>
      <c r="D14" s="64">
        <v>2.8</v>
      </c>
      <c r="E14" s="65">
        <v>63.5</v>
      </c>
      <c r="F14" s="67">
        <v>60.5</v>
      </c>
      <c r="G14" s="70" t="s">
        <v>36</v>
      </c>
      <c r="H14" s="72" t="s">
        <v>71</v>
      </c>
      <c r="I14" s="74">
        <v>0.09</v>
      </c>
      <c r="J14" s="76">
        <v>399</v>
      </c>
      <c r="K14" s="121"/>
      <c r="L14" s="79" t="str">
        <f>HYPERLINK("https://www.bhphotovideo.com/c/product/1503295-REG/samyang_syio18af_e_af_18mm_f_2_8_fe.html/BI/19619/KBID/12129/DFF/d10-v21-t1-x985623/SID/EZ","link*")</f>
        <v>link*</v>
      </c>
      <c r="M14" s="121"/>
      <c r="N14" s="121"/>
      <c r="O14" s="84">
        <v>25</v>
      </c>
      <c r="P14" s="70" t="s">
        <v>27</v>
      </c>
      <c r="Q14" s="74">
        <v>7</v>
      </c>
      <c r="R14" s="136" t="s">
        <v>91</v>
      </c>
      <c r="S14" s="74" t="s">
        <v>38</v>
      </c>
      <c r="T14" s="88">
        <v>43723</v>
      </c>
    </row>
    <row r="15" spans="1:22" ht="15.75" customHeight="1">
      <c r="A15" s="58" t="s">
        <v>92</v>
      </c>
      <c r="B15" s="60">
        <v>950</v>
      </c>
      <c r="C15" s="62">
        <v>20</v>
      </c>
      <c r="D15" s="165">
        <v>1.4</v>
      </c>
      <c r="E15" s="65">
        <v>91</v>
      </c>
      <c r="F15" s="67">
        <v>130</v>
      </c>
      <c r="G15" s="74" t="s">
        <v>36</v>
      </c>
      <c r="H15" s="72" t="s">
        <v>26</v>
      </c>
      <c r="I15" s="74">
        <v>0.14000000000000001</v>
      </c>
      <c r="J15" s="76">
        <v>899</v>
      </c>
      <c r="K15" s="79" t="str">
        <f>HYPERLINK("https://amzn.to/2K4J7nh","link*")</f>
        <v>link*</v>
      </c>
      <c r="L15" s="79" t="str">
        <f>HYPERLINK("https://amzn.to/31hxv55","link*")</f>
        <v>link*</v>
      </c>
      <c r="M15" s="79" t="str">
        <f>HYPERLINK("https://amzn.to/2Wy0d3F","link*")</f>
        <v>link*</v>
      </c>
      <c r="N15" s="79"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O15" s="84">
        <v>28</v>
      </c>
      <c r="P15" s="70" t="s">
        <v>27</v>
      </c>
      <c r="Q15" s="74">
        <v>9</v>
      </c>
      <c r="R15" s="112">
        <v>43784</v>
      </c>
      <c r="S15" s="74" t="s">
        <v>47</v>
      </c>
      <c r="T15" s="88">
        <v>43221</v>
      </c>
      <c r="U15" s="77" t="s">
        <v>48</v>
      </c>
    </row>
    <row r="16" spans="1:22" ht="13" hidden="1">
      <c r="A16" s="58" t="s">
        <v>104</v>
      </c>
      <c r="B16" s="60">
        <v>775</v>
      </c>
      <c r="C16" s="62">
        <v>20</v>
      </c>
      <c r="D16" s="100">
        <v>1.8</v>
      </c>
      <c r="E16" s="65">
        <v>77</v>
      </c>
      <c r="F16" s="67">
        <v>102</v>
      </c>
      <c r="G16" s="74" t="s">
        <v>25</v>
      </c>
      <c r="H16" s="72" t="s">
        <v>68</v>
      </c>
      <c r="I16" s="74">
        <v>0.12</v>
      </c>
      <c r="J16" s="76">
        <v>486</v>
      </c>
      <c r="K16" s="79" t="str">
        <f>HYPERLINK("https://amzn.to/2LRRbJ5","link*")</f>
        <v>link*</v>
      </c>
      <c r="L16" s="79" t="str">
        <f>HYPERLINK("https://www.bhphotovideo.com/c/product/1469187-REG/viltrox_pfu_rbmh_20mm_f1_8_asph_e_mount_20mm_f_1_8_for_sony.html/BI/19619/KBID/12129/DFF/d10-v21-t1-x954299/SID/EZ","link*")</f>
        <v>link*</v>
      </c>
      <c r="M16" s="79" t="str">
        <f>HYPERLINK("https://amzn.to/2GL8iYV","link*")</f>
        <v>link*</v>
      </c>
      <c r="N16" s="79"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O16" s="84">
        <v>25</v>
      </c>
      <c r="P16" s="70" t="s">
        <v>27</v>
      </c>
      <c r="Q16" s="74">
        <v>14</v>
      </c>
      <c r="R16" s="112">
        <v>43720</v>
      </c>
      <c r="S16" s="74" t="s">
        <v>106</v>
      </c>
      <c r="T16" s="88">
        <v>43586</v>
      </c>
    </row>
    <row r="17" spans="1:21" ht="13" hidden="1">
      <c r="A17" s="126" t="str">
        <f>HYPERLINK("https://phillipreeve.net/blog/tokina-firin-20mm-f2-fe-review-a-good-deal/","Tokina Firin 2/20")</f>
        <v>Tokina Firin 2/20</v>
      </c>
      <c r="B17" s="60">
        <v>492</v>
      </c>
      <c r="C17" s="62">
        <v>20</v>
      </c>
      <c r="D17" s="173">
        <v>2</v>
      </c>
      <c r="E17" s="187">
        <v>69</v>
      </c>
      <c r="F17" s="188">
        <v>82</v>
      </c>
      <c r="G17" s="70" t="s">
        <v>25</v>
      </c>
      <c r="H17" s="72" t="s">
        <v>101</v>
      </c>
      <c r="I17" s="74">
        <v>0.1</v>
      </c>
      <c r="J17" s="184">
        <v>799</v>
      </c>
      <c r="K17" s="79" t="str">
        <f>HYPERLINK("http://amzn.to/2vlG2Yq","link*")</f>
        <v>link*</v>
      </c>
      <c r="L17" s="79" t="str">
        <f>HYPERLINK("https://www.bhphotovideo.com/c/product/1281299-REG/tokina_firin_20mm_f_2_fe.html/BI/19619/KBID/12129/kw/TO202E/DFF/d10-v2-t1-xTO202E","link*")</f>
        <v>link*</v>
      </c>
      <c r="M17" s="79" t="str">
        <f>HYPERLINK("http://amzn.to/2vvtDkM","link*")</f>
        <v>link*</v>
      </c>
      <c r="N17" s="79"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c r="O17" s="84">
        <v>30</v>
      </c>
      <c r="P17" s="70" t="s">
        <v>27</v>
      </c>
      <c r="Q17" s="74">
        <v>9</v>
      </c>
      <c r="R17" s="136" t="s">
        <v>77</v>
      </c>
      <c r="S17" s="74" t="s">
        <v>103</v>
      </c>
      <c r="T17" s="88">
        <v>42856</v>
      </c>
    </row>
    <row r="18" spans="1:21" ht="13">
      <c r="A18" s="58" t="s">
        <v>97</v>
      </c>
      <c r="B18" s="60">
        <v>464</v>
      </c>
      <c r="C18" s="62">
        <v>20</v>
      </c>
      <c r="D18" s="173">
        <v>2</v>
      </c>
      <c r="E18" s="175">
        <v>73</v>
      </c>
      <c r="F18" s="176">
        <v>82</v>
      </c>
      <c r="G18" s="70" t="s">
        <v>36</v>
      </c>
      <c r="H18" s="72" t="s">
        <v>101</v>
      </c>
      <c r="I18" s="74">
        <v>0.1</v>
      </c>
      <c r="J18" s="76">
        <v>949</v>
      </c>
      <c r="K18" s="79" t="str">
        <f>HYPERLINK("https://amzn.to/2GDurZb","link*")</f>
        <v>link*</v>
      </c>
      <c r="L18" s="79" t="str">
        <f>HYPERLINK("https://www.bhphotovideo.com/c/product/1393327-REG/tokina_firin_20mm_f_2_fe.html/BI/19619/KBID/12129/DFF/d10-v21-t1-x880327/SID/EZ","link*")</f>
        <v>link*</v>
      </c>
      <c r="M18" s="79" t="str">
        <f>HYPERLINK("https://amzn.to/2GJYCxw","link*")</f>
        <v>link*</v>
      </c>
      <c r="N18" s="79"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18" s="84">
        <v>30</v>
      </c>
      <c r="P18" s="70" t="s">
        <v>27</v>
      </c>
      <c r="Q18" s="74">
        <v>9</v>
      </c>
      <c r="R18" s="136" t="s">
        <v>77</v>
      </c>
      <c r="S18" s="74" t="s">
        <v>103</v>
      </c>
      <c r="T18" s="88">
        <v>43221</v>
      </c>
    </row>
    <row r="19" spans="1:21" ht="13" hidden="1">
      <c r="A19" s="126" t="str">
        <f>HYPERLINK("https://phillipreeve.net/blog/review_voigtlander_21mm_f14_e/","Voigtlander 21mm F1.4 Nokton")</f>
        <v>Voigtlander 21mm F1.4 Nokton</v>
      </c>
      <c r="B19" s="60">
        <v>540</v>
      </c>
      <c r="C19" s="62">
        <v>21</v>
      </c>
      <c r="D19" s="192">
        <v>1.4</v>
      </c>
      <c r="E19" s="194">
        <v>70</v>
      </c>
      <c r="F19" s="195">
        <v>80</v>
      </c>
      <c r="G19" s="70" t="s">
        <v>25</v>
      </c>
      <c r="H19" s="72" t="s">
        <v>101</v>
      </c>
      <c r="I19" s="74"/>
      <c r="J19" s="76">
        <v>1199</v>
      </c>
      <c r="K19" s="79" t="str">
        <f>HYPERLINK("https://amzn.to/2K7gHrC","link*")</f>
        <v>link*</v>
      </c>
      <c r="L19" s="79" t="str">
        <f>HYPERLINK("https://www.bhphotovideo.com/c/product/1480269-REG/voigtlander_ba352a_nokton_21mm_f_1_4_aspherical.html/BI/19619/KBID/12129/DFF/d10-v21-t1-x963269/SID/EZ","link*")</f>
        <v>link*</v>
      </c>
      <c r="M19" s="113"/>
      <c r="N19" s="79"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c r="O19" s="84">
        <v>25</v>
      </c>
      <c r="P19" s="70" t="s">
        <v>27</v>
      </c>
      <c r="Q19" s="74">
        <v>12</v>
      </c>
      <c r="R19" s="136" t="s">
        <v>77</v>
      </c>
      <c r="S19" s="74" t="s">
        <v>29</v>
      </c>
      <c r="T19" s="88">
        <v>43617</v>
      </c>
    </row>
    <row r="20" spans="1:21" ht="13" hidden="1">
      <c r="A20" s="126" t="str">
        <f>HYPERLINK("https://phillipreeve.net/blog/rolling-review-zeiss-loxia-distagon-2-821mm-t/https://phillipreeve.net/blog/rolling-review-zeiss-loxia-distagon-2-821mm-t/","Zeiss Loxia 2.8/21 Distagon T*")</f>
        <v>Zeiss Loxia 2.8/21 Distagon T*</v>
      </c>
      <c r="B20" s="60">
        <v>394</v>
      </c>
      <c r="C20" s="62">
        <v>21</v>
      </c>
      <c r="D20" s="64">
        <v>2.8</v>
      </c>
      <c r="E20" s="194">
        <v>62</v>
      </c>
      <c r="F20" s="195">
        <v>72</v>
      </c>
      <c r="G20" s="70" t="s">
        <v>25</v>
      </c>
      <c r="H20" s="72" t="s">
        <v>131</v>
      </c>
      <c r="I20" s="74">
        <v>0.13</v>
      </c>
      <c r="J20" s="76">
        <v>1499</v>
      </c>
      <c r="K20" s="79" t="str">
        <f>HYPERLINK("https://amzn.to/2yspzBm","link*")</f>
        <v>link*</v>
      </c>
      <c r="L20" s="79" t="str">
        <f>HYPERLINK("https://www.bhphotovideo.com/c/product/1189220-REG/zeiss_2131_999_loxia_21mm_f_2_8_lens.html/BI/19619/KBID/12129/DFF/d10-v21-t1-x677077/SID/EZ","link*")</f>
        <v>link*</v>
      </c>
      <c r="M20" s="79" t="str">
        <f>HYPERLINK("https://amzn.to/2GHSOoA","link*")</f>
        <v>link*</v>
      </c>
      <c r="N20" s="79"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c r="O20" s="84">
        <v>25</v>
      </c>
      <c r="P20" s="70" t="s">
        <v>27</v>
      </c>
      <c r="Q20" s="74">
        <v>10</v>
      </c>
      <c r="R20" s="136" t="s">
        <v>132</v>
      </c>
      <c r="S20" s="74" t="s">
        <v>87</v>
      </c>
      <c r="T20" s="88">
        <v>42339</v>
      </c>
    </row>
    <row r="21" spans="1:21" ht="13" hidden="1">
      <c r="A21" s="126" t="str">
        <f>HYPERLINK("https://phillipreeve.net/blog/voigtlander-21mm-f35-review/","Voigtlander 21mm F3.5 Color-Skopar")</f>
        <v>Voigtlander 21mm F3.5 Color-Skopar</v>
      </c>
      <c r="B21" s="60">
        <v>230</v>
      </c>
      <c r="C21" s="62">
        <v>21</v>
      </c>
      <c r="D21" s="64">
        <v>3.5</v>
      </c>
      <c r="E21" s="194">
        <v>63</v>
      </c>
      <c r="F21" s="176">
        <v>40</v>
      </c>
      <c r="G21" s="70" t="s">
        <v>25</v>
      </c>
      <c r="H21" s="72" t="s">
        <v>131</v>
      </c>
      <c r="I21" s="125"/>
      <c r="J21" s="76">
        <v>699</v>
      </c>
      <c r="K21" s="79" t="str">
        <f>HYPERLINK("https://amzn.to/2JCie75","link*")</f>
        <v>link*</v>
      </c>
      <c r="L21" s="79" t="str">
        <f>HYPERLINK("https://www.bhphotovideo.com/c/product/1437613-REG/voigtlander_color_skopar_21mm_f_3_5_aspherical.html/BI/19619/KBID/12129/kw/VO2135E/DFF/d10-v2-t1-xVO2135E","link*")</f>
        <v>link*</v>
      </c>
      <c r="M21" s="79" t="str">
        <f>HYPERLINK("https://amzn.to/2ZoERan","link*")</f>
        <v>link*</v>
      </c>
      <c r="N21" s="79"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O21" s="84">
        <v>20</v>
      </c>
      <c r="P21" s="70" t="s">
        <v>27</v>
      </c>
      <c r="Q21" s="74">
        <v>10</v>
      </c>
      <c r="R21" s="136" t="s">
        <v>91</v>
      </c>
      <c r="S21" s="74" t="s">
        <v>29</v>
      </c>
      <c r="T21" s="88">
        <v>43374</v>
      </c>
    </row>
    <row r="22" spans="1:21" ht="13">
      <c r="A22" s="126" t="str">
        <f>HYPERLINK("https://phillipreeve.net/blog/review-sony-fe-24mm-1-4-gm/","Sony GM 1.4/24")</f>
        <v>Sony GM 1.4/24</v>
      </c>
      <c r="B22" s="60">
        <v>445</v>
      </c>
      <c r="C22" s="62">
        <v>24</v>
      </c>
      <c r="D22" s="192">
        <v>1.4</v>
      </c>
      <c r="E22" s="194">
        <v>75</v>
      </c>
      <c r="F22" s="195">
        <v>92</v>
      </c>
      <c r="G22" s="70" t="s">
        <v>36</v>
      </c>
      <c r="H22" s="72" t="s">
        <v>73</v>
      </c>
      <c r="I22" s="74">
        <v>0.17</v>
      </c>
      <c r="J22" s="76">
        <v>1399</v>
      </c>
      <c r="K22" s="79" t="str">
        <f>HYPERLINK("https://amzn.to/2ywcbw1","link*")</f>
        <v>link*</v>
      </c>
      <c r="L22" s="79" t="str">
        <f>HYPERLINK("https://www.bhphotovideo.com/c/product/1435887-REG/sony_fe_24mm_f_1_4_gm.html/BI/19619/KBID/12129/DFF/d10-v21-t1-x915647/SID/EZ","link*")</f>
        <v>link*</v>
      </c>
      <c r="M22" s="79" t="str">
        <f>HYPERLINK("https://amzn.to/2L2tV9y","link*")</f>
        <v>link*</v>
      </c>
      <c r="N22" s="79" t="str">
        <f>HYPERLINK("https://amzn.to/338yg28","link*")</f>
        <v>link*</v>
      </c>
      <c r="O22" s="84">
        <v>25</v>
      </c>
      <c r="P22" s="70" t="s">
        <v>27</v>
      </c>
      <c r="Q22" s="74">
        <v>11</v>
      </c>
      <c r="R22" s="136" t="s">
        <v>28</v>
      </c>
      <c r="S22" s="74" t="s">
        <v>41</v>
      </c>
      <c r="T22" s="88">
        <v>43374</v>
      </c>
    </row>
    <row r="23" spans="1:21" ht="13">
      <c r="A23" s="58" t="s">
        <v>121</v>
      </c>
      <c r="B23" s="60">
        <v>665</v>
      </c>
      <c r="C23" s="62">
        <v>24</v>
      </c>
      <c r="D23" s="192">
        <v>1.4</v>
      </c>
      <c r="E23" s="194">
        <v>85</v>
      </c>
      <c r="F23" s="195">
        <v>90</v>
      </c>
      <c r="G23" s="74" t="s">
        <v>36</v>
      </c>
      <c r="H23" s="72" t="s">
        <v>80</v>
      </c>
      <c r="I23" s="74">
        <v>0.19</v>
      </c>
      <c r="J23" s="76">
        <v>849</v>
      </c>
      <c r="K23" s="79" t="str">
        <f>HYPERLINK("https://amzn.to/2Isw2Rv","link*")</f>
        <v>link*</v>
      </c>
      <c r="L23" s="79" t="str">
        <f>HYPERLINK("https://www.bhphotovideo.com/c/product/1393491-REG/sigma_24mm_f_1_4_dg_hsm.html/BI/19619/KBID/12129/kw/SI2414SO/DFF/d10-v2-t1-xSI2414SO","link*")</f>
        <v>link*</v>
      </c>
      <c r="M23" s="79" t="str">
        <f>HYPERLINK("https://amzn.to/2K7sIP4","link*")</f>
        <v>link*</v>
      </c>
      <c r="N23" s="79"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O23" s="84">
        <v>25</v>
      </c>
      <c r="P23" s="70" t="s">
        <v>27</v>
      </c>
      <c r="Q23" s="74">
        <v>9</v>
      </c>
      <c r="R23" s="112">
        <v>43784</v>
      </c>
      <c r="S23" s="74" t="s">
        <v>47</v>
      </c>
      <c r="T23" s="88">
        <v>43221</v>
      </c>
      <c r="U23" s="77" t="s">
        <v>48</v>
      </c>
    </row>
    <row r="24" spans="1:21" ht="13">
      <c r="A24" s="126" t="str">
        <f>HYPERLINK("https://phillipreeve.net/blog/review-samyang-af-2-4-28-fe-at-least-its-small/","Samyang AF 24mm F/2.8")</f>
        <v>Samyang AF 24mm F/2.8</v>
      </c>
      <c r="B24" s="60">
        <v>93</v>
      </c>
      <c r="C24" s="62">
        <v>24</v>
      </c>
      <c r="D24" s="64">
        <v>2.8</v>
      </c>
      <c r="E24" s="194">
        <v>61</v>
      </c>
      <c r="F24" s="176">
        <v>37</v>
      </c>
      <c r="G24" s="70" t="s">
        <v>36</v>
      </c>
      <c r="H24" s="72" t="s">
        <v>124</v>
      </c>
      <c r="I24" s="74">
        <v>0.15</v>
      </c>
      <c r="J24" s="184">
        <v>279</v>
      </c>
      <c r="K24" s="79" t="str">
        <f>HYPERLINK("https://amzn.to/2NEHZ7c","link*")</f>
        <v>link*</v>
      </c>
      <c r="L24" s="79" t="str">
        <f>HYPERLINK("https://www.bhphotovideo.com/c/product/1413350-REG/samyang_syio24af_e_af_24mm_f_2_8_fe.html/BI/19619/KBID/12129/kw/SASYIO24AFE/DFF/d10-v2-t1-xSASYIO24AFE","link*")</f>
        <v>link*</v>
      </c>
      <c r="M24" s="79" t="str">
        <f>HYPERLINK("https://amzn.to/2Onv1QE","link*")</f>
        <v>link*</v>
      </c>
      <c r="N24"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24" s="84">
        <v>20</v>
      </c>
      <c r="P24" s="70" t="s">
        <v>27</v>
      </c>
      <c r="Q24" s="74">
        <v>9</v>
      </c>
      <c r="R24" s="136" t="s">
        <v>127</v>
      </c>
      <c r="S24" s="74" t="s">
        <v>38</v>
      </c>
      <c r="T24" s="88">
        <v>43282</v>
      </c>
    </row>
    <row r="25" spans="1:21" ht="13">
      <c r="A25" s="196" t="str">
        <f>HYPERLINK("https://phillipreeve.net/blog/review-sony-fe-2-824-70mm-gm/","Sony GM 2.8/24-70")</f>
        <v>Sony GM 2.8/24-70</v>
      </c>
      <c r="B25" s="60">
        <v>886</v>
      </c>
      <c r="C25" s="62">
        <v>24</v>
      </c>
      <c r="D25" s="64">
        <v>2.8</v>
      </c>
      <c r="E25" s="194">
        <v>88</v>
      </c>
      <c r="F25" s="176">
        <v>136</v>
      </c>
      <c r="G25" s="70" t="s">
        <v>36</v>
      </c>
      <c r="H25" s="72" t="s">
        <v>68</v>
      </c>
      <c r="I25" s="201">
        <v>0.25</v>
      </c>
      <c r="J25" s="76">
        <v>2199</v>
      </c>
      <c r="K25" s="79" t="str">
        <f>HYPERLINK("https://amzn.to/2STHavK","link*")</f>
        <v>link*</v>
      </c>
      <c r="L25" s="79" t="str">
        <f>HYPERLINK("https://www.bhphotovideo.com/c/search?Ntt=gm%2024-70&amp;N=0&amp;InitialSearch=yes&amp;sts=ma&amp;Top+Nav-Search=&amp;BI=19619&amp;KBID=12129&amp;KWID=EZ","link*")</f>
        <v>link*</v>
      </c>
      <c r="M25" s="79" t="str">
        <f>HYPERLINK("https://amzn.to/2ZwoyU7","link*")</f>
        <v>link*</v>
      </c>
      <c r="N25"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25" s="84">
        <v>38</v>
      </c>
      <c r="P25" s="70" t="s">
        <v>27</v>
      </c>
      <c r="Q25" s="74">
        <v>11</v>
      </c>
      <c r="R25" s="136" t="s">
        <v>54</v>
      </c>
      <c r="S25" s="74" t="s">
        <v>41</v>
      </c>
      <c r="T25" s="88">
        <v>42401</v>
      </c>
    </row>
    <row r="26" spans="1:21" ht="13">
      <c r="A26" s="58" t="s">
        <v>129</v>
      </c>
      <c r="B26" s="60">
        <v>780</v>
      </c>
      <c r="C26" s="62">
        <v>24</v>
      </c>
      <c r="D26" s="64" t="s">
        <v>130</v>
      </c>
      <c r="E26" s="194">
        <v>80</v>
      </c>
      <c r="F26" s="176">
        <v>119</v>
      </c>
      <c r="G26" s="70" t="s">
        <v>36</v>
      </c>
      <c r="H26" s="72" t="s">
        <v>64</v>
      </c>
      <c r="I26" s="201">
        <v>0.27</v>
      </c>
      <c r="J26" s="76">
        <v>998</v>
      </c>
      <c r="K26" s="79" t="str">
        <f>HYPERLINK("http://amzn.to/2fbX5FU","link*")</f>
        <v>link*</v>
      </c>
      <c r="L26" s="79" t="str">
        <f>HYPERLINK("https://www.bhphotovideo.com/c/search?Ntt=sony%2024-240&amp;N=0&amp;InitialSearch=yes&amp;sts=ma&amp;Top+Nav-Search=&amp;BI=19619&amp;KBID=12129&amp;KWID=EZ","link*")</f>
        <v>link*</v>
      </c>
      <c r="M26" s="79" t="str">
        <f>HYPERLINK("http://amzn.to/2wyrL7A","link*")</f>
        <v>link*</v>
      </c>
      <c r="N26"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26" s="84">
        <v>50</v>
      </c>
      <c r="P26" s="134" t="s">
        <v>66</v>
      </c>
      <c r="Q26" s="74">
        <v>7</v>
      </c>
      <c r="R26" s="136" t="s">
        <v>133</v>
      </c>
      <c r="S26" s="74" t="s">
        <v>41</v>
      </c>
      <c r="T26" s="88">
        <v>42064</v>
      </c>
    </row>
    <row r="27" spans="1:21" ht="13">
      <c r="A27" s="58" t="s">
        <v>134</v>
      </c>
      <c r="B27" s="60">
        <v>663</v>
      </c>
      <c r="C27" s="62">
        <v>24</v>
      </c>
      <c r="D27" s="64">
        <v>4</v>
      </c>
      <c r="E27" s="194">
        <v>83</v>
      </c>
      <c r="F27" s="195">
        <v>113</v>
      </c>
      <c r="G27" s="70" t="s">
        <v>36</v>
      </c>
      <c r="H27" s="72" t="s">
        <v>80</v>
      </c>
      <c r="I27" s="201">
        <v>0.31</v>
      </c>
      <c r="J27" s="76">
        <v>1398</v>
      </c>
      <c r="K27" s="79" t="str">
        <f>HYPERLINK("https://amzn.to/2K7LwMR","link*")</f>
        <v>link*</v>
      </c>
      <c r="L27" s="79" t="str">
        <f>HYPERLINK("https://www.bhphotovideo.com/c/search?Ntt=sony%2024-105&amp;N=0&amp;InitialSearch=yes&amp;sts=ma&amp;Top+Nav-Search=&amp;BI=19619&amp;KBID=12129&amp;KWID=EZ","link*")</f>
        <v>link*</v>
      </c>
      <c r="M27" s="79" t="str">
        <f>HYPERLINK("https://amzn.to/2Ld8hOS","link*")</f>
        <v>link*</v>
      </c>
      <c r="N27"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27" s="84">
        <v>38</v>
      </c>
      <c r="P27" s="134" t="s">
        <v>66</v>
      </c>
      <c r="Q27" s="74">
        <v>9</v>
      </c>
      <c r="R27" s="136" t="s">
        <v>135</v>
      </c>
      <c r="S27" s="74" t="s">
        <v>41</v>
      </c>
      <c r="T27" s="88">
        <v>43009</v>
      </c>
    </row>
    <row r="28" spans="1:21" ht="13">
      <c r="A28" s="126" t="str">
        <f>HYPERLINK("https://phillipreeve.net/blog/rolling-review-carl-zeiss-vario-tessar-t-fe-424-70-za/","Sony ZA 4/24-70 OSS")</f>
        <v>Sony ZA 4/24-70 OSS</v>
      </c>
      <c r="B28" s="60">
        <v>426</v>
      </c>
      <c r="C28" s="62">
        <v>24</v>
      </c>
      <c r="D28" s="64">
        <v>4</v>
      </c>
      <c r="E28" s="194">
        <v>73</v>
      </c>
      <c r="F28" s="195">
        <v>95</v>
      </c>
      <c r="G28" s="70" t="s">
        <v>36</v>
      </c>
      <c r="H28" s="72" t="s">
        <v>73</v>
      </c>
      <c r="I28" s="74">
        <v>0.2</v>
      </c>
      <c r="J28" s="76">
        <v>898</v>
      </c>
      <c r="K28" s="79" t="str">
        <f>HYPERLINK("http://amzn.to/2vlG2Yq","link*")</f>
        <v>link*</v>
      </c>
      <c r="L28" s="79" t="str">
        <f>HYPERLINK("https://www.bhphotovideo.com/c/product/1008126-REG/sony_sel2470z_vario_tessar_t_fe_24_70mm.html/BI/19619/KBID/12129/DFF/d10-v21-t1-x466842/SID/EZ","link*")</f>
        <v>link*</v>
      </c>
      <c r="M28" s="79" t="str">
        <f>HYPERLINK("http://amzn.to/2fl1XZk","link*")</f>
        <v>link*</v>
      </c>
      <c r="N28" s="79"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28" s="84">
        <v>40</v>
      </c>
      <c r="P28" s="134" t="s">
        <v>66</v>
      </c>
      <c r="Q28" s="74">
        <v>7</v>
      </c>
      <c r="R28" s="136" t="s">
        <v>43</v>
      </c>
      <c r="S28" s="74" t="s">
        <v>41</v>
      </c>
      <c r="T28" s="88">
        <v>41640</v>
      </c>
    </row>
    <row r="29" spans="1:21" ht="13">
      <c r="A29" s="126" t="str">
        <f>HYPERLINK("https://phillipreeve.net/blog/review-zeiss-batis-distagon-t-25mm-f2/","Zeiss Batis 2/25")</f>
        <v>Zeiss Batis 2/25</v>
      </c>
      <c r="B29" s="60">
        <v>335</v>
      </c>
      <c r="C29" s="62">
        <v>25</v>
      </c>
      <c r="D29" s="64">
        <v>2</v>
      </c>
      <c r="E29" s="194">
        <v>92</v>
      </c>
      <c r="F29" s="195">
        <v>78</v>
      </c>
      <c r="G29" s="70" t="s">
        <v>36</v>
      </c>
      <c r="H29" s="72" t="s">
        <v>73</v>
      </c>
      <c r="I29" s="74">
        <v>0.19</v>
      </c>
      <c r="J29" s="76">
        <v>1299</v>
      </c>
      <c r="K29" s="79" t="str">
        <f>HYPERLINK("https://amzn.to/2ypHQiT","link*")</f>
        <v>link*</v>
      </c>
      <c r="L29" s="79" t="str">
        <f>HYPERLINK("https://www.bhphotovideo.com/c/product/1140832-REG/zeiss_2103_750_25mm_f_2_0_batis_wide.html/BI/19619/KBID/12129/DFF/d10-v21-t1-x627141/SID/EZ","link*")</f>
        <v>link*</v>
      </c>
      <c r="M29" s="79" t="str">
        <f>HYPERLINK("https://amzn.to/2L20DIj","link*")</f>
        <v>link*</v>
      </c>
      <c r="N29" s="7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29" s="84">
        <v>20</v>
      </c>
      <c r="P29" s="70" t="s">
        <v>27</v>
      </c>
      <c r="Q29" s="74">
        <v>9</v>
      </c>
      <c r="R29" s="136" t="s">
        <v>140</v>
      </c>
      <c r="S29" s="74" t="s">
        <v>87</v>
      </c>
      <c r="T29" s="88">
        <v>42125</v>
      </c>
    </row>
    <row r="30" spans="1:21" ht="13" hidden="1">
      <c r="A30" s="126" t="str">
        <f>HYPERLINK("https://phillipreeve.net/blog/review-zeiss-loxia-2-4-25mm-distagon/","Zeiss Loxia 2.4/25")</f>
        <v>Zeiss Loxia 2.4/25</v>
      </c>
      <c r="B30" s="60">
        <v>393</v>
      </c>
      <c r="C30" s="62">
        <v>25</v>
      </c>
      <c r="D30" s="64">
        <v>2.4</v>
      </c>
      <c r="E30" s="194">
        <v>62</v>
      </c>
      <c r="F30" s="195">
        <v>75</v>
      </c>
      <c r="G30" s="70" t="s">
        <v>25</v>
      </c>
      <c r="H30" s="72" t="s">
        <v>131</v>
      </c>
      <c r="I30" s="74">
        <v>0.16</v>
      </c>
      <c r="J30" s="76">
        <v>1299</v>
      </c>
      <c r="K30" s="79" t="str">
        <f>HYPERLINK("https://amzn.to/2OlyeAf","link*")</f>
        <v>link*</v>
      </c>
      <c r="L30" s="79" t="str">
        <f>HYPERLINK("https://www.bhphotovideo.com/c/product/1389169-REG/zeiss_000000_2218_783_loxia_25mm_f_2_4_lens.html/BI/19619/KBID/12129/kw/ZE2524L/DFF/d10-v2-t1-xZE2524L","link*")</f>
        <v>link*</v>
      </c>
      <c r="M30" s="79" t="str">
        <f>HYPERLINK("https://amzn.to/2OlyeAf","link*")</f>
        <v>link*</v>
      </c>
      <c r="N30" s="79" t="e">
        <f>HYPERLINK("http://rover.ebay.com/rover/1/711-53200-19255-0/1?icep_ff3=9&amp;pub=5575076376&amp;toolid=10001&amp;campid=5338573609&amp;customid=&amp;icep_uq=Zeissloxia+25mm&amp;icep_sellerId=&amp;icep_ex_kw=&amp;icep_sortBy=12&amp;icep_catId=3323&amp;icep_minPrice=&amp;icep_maxPrice=&amp;ipn=psmain&amp;icep_vectorid=2"&amp;"29466&amp;kwid=902099&amp;mtid=824&amp;kw=lg","link*")</f>
        <v>#VALUE!</v>
      </c>
      <c r="O30" s="84">
        <v>25</v>
      </c>
      <c r="P30" s="70" t="s">
        <v>27</v>
      </c>
      <c r="Q30" s="74">
        <v>10</v>
      </c>
      <c r="R30" s="136" t="s">
        <v>140</v>
      </c>
      <c r="S30" s="74" t="s">
        <v>87</v>
      </c>
      <c r="T30" s="88">
        <v>43160</v>
      </c>
    </row>
    <row r="31" spans="1:21" ht="13">
      <c r="A31" s="58" t="s">
        <v>141</v>
      </c>
      <c r="B31" s="60">
        <v>965</v>
      </c>
      <c r="C31" s="62">
        <v>28</v>
      </c>
      <c r="D31" s="64">
        <v>1.4</v>
      </c>
      <c r="E31" s="194">
        <v>83</v>
      </c>
      <c r="F31" s="195">
        <v>134</v>
      </c>
      <c r="G31" s="70" t="s">
        <v>36</v>
      </c>
      <c r="H31" s="72" t="s">
        <v>80</v>
      </c>
      <c r="I31" s="74">
        <v>0.19</v>
      </c>
      <c r="J31" s="76">
        <v>1399</v>
      </c>
      <c r="K31" s="79" t="str">
        <f>HYPERLINK("https://amzn.to/2Wn0pxO","link*")</f>
        <v>link*</v>
      </c>
      <c r="L31" s="79" t="str">
        <f>HYPERLINK("https://www.bhphotovideo.com/c/product/1436285-REG/sigma_28mm_f_1_4_dg_hsm.html/BI/19619/KBID/12129/kw/SI2814DGSE/DFF/d10-v2-t1-xSI2814DGSE","link*")</f>
        <v>link*</v>
      </c>
      <c r="M31" s="79" t="str">
        <f>HYPERLINK("https://amzn.to/2WzVkHd","link*")</f>
        <v>link*</v>
      </c>
      <c r="N31" s="79"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c r="O31" s="84">
        <v>28</v>
      </c>
      <c r="P31" s="70" t="s">
        <v>27</v>
      </c>
      <c r="Q31" s="74">
        <v>9</v>
      </c>
      <c r="R31" s="136" t="s">
        <v>133</v>
      </c>
      <c r="S31" s="74" t="s">
        <v>47</v>
      </c>
      <c r="T31" s="88">
        <v>43435</v>
      </c>
    </row>
    <row r="32" spans="1:21" ht="13">
      <c r="A32" s="126" t="str">
        <f>HYPERLINK("https://www.systemkamera-forum.de/blog/2015/05/sony-fe-28mm-f2-test-und-erfahrungsbericht/","Sony FE 2/28")</f>
        <v>Sony FE 2/28</v>
      </c>
      <c r="B32" s="60">
        <v>200</v>
      </c>
      <c r="C32" s="62">
        <v>28</v>
      </c>
      <c r="D32" s="64">
        <v>2</v>
      </c>
      <c r="E32" s="194">
        <v>60</v>
      </c>
      <c r="F32" s="195">
        <v>60</v>
      </c>
      <c r="G32" s="70" t="s">
        <v>36</v>
      </c>
      <c r="H32" s="72" t="s">
        <v>124</v>
      </c>
      <c r="I32" s="74">
        <v>0.13</v>
      </c>
      <c r="J32" s="156">
        <v>448</v>
      </c>
      <c r="K32" s="79" t="str">
        <f>HYPERLINK("https://amzn.to/2GXJWdo","link*")</f>
        <v>link*</v>
      </c>
      <c r="L32" s="79" t="str">
        <f>HYPERLINK("https://www.bhphotovideo.com/c/product/1402637-REG/sony_fe_28mm_f_2_lens.html/BI/19619/KBID/12129/kw/SO2820F/DFF/d10-v2-t1-xSO2820F","link*")</f>
        <v>link*</v>
      </c>
      <c r="M32" s="79" t="str">
        <f>HYPERLINK("http://amzn.to/2wyLOCO","link*")</f>
        <v>link*</v>
      </c>
      <c r="N32" s="79"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32" s="84">
        <v>29</v>
      </c>
      <c r="P32" s="70" t="s">
        <v>27</v>
      </c>
      <c r="Q32" s="74">
        <v>9</v>
      </c>
      <c r="R32" s="136" t="s">
        <v>91</v>
      </c>
      <c r="S32" s="74" t="s">
        <v>41</v>
      </c>
      <c r="T32" s="88">
        <v>42064</v>
      </c>
    </row>
    <row r="33" spans="1:21" ht="13">
      <c r="A33" s="126" t="str">
        <f>HYPERLINK("https://phillipreeve.net/blog/review-tamron-28-75mm-f-2-8-di-iii-rxd-sony-e-mount/","Tamron 2.8/28-75")</f>
        <v>Tamron 2.8/28-75</v>
      </c>
      <c r="B33" s="60">
        <v>550</v>
      </c>
      <c r="C33" s="62">
        <v>28</v>
      </c>
      <c r="D33" s="64">
        <v>2.8</v>
      </c>
      <c r="E33" s="194">
        <v>73</v>
      </c>
      <c r="F33" s="195">
        <v>118</v>
      </c>
      <c r="G33" s="70" t="s">
        <v>36</v>
      </c>
      <c r="H33" s="72" t="s">
        <v>73</v>
      </c>
      <c r="I33" s="201">
        <v>0.34</v>
      </c>
      <c r="J33" s="156">
        <v>879</v>
      </c>
      <c r="K33" s="79" t="str">
        <f>HYPERLINK("https://amzn.to/2ST5uxq","link*")</f>
        <v>link*</v>
      </c>
      <c r="L33" s="79" t="str">
        <f>HYPERLINK("https://www.bhphotovideo.com/c/product/1393332-REG/tamron_a036_28_75mm_f_2_8_di_iii.html/BI/19619/KBID/12129/DFF/d10-v21-t1-x892059/SID/EZ","link*")</f>
        <v>link*</v>
      </c>
      <c r="M33" s="79" t="str">
        <f>HYPERLINK("https://amzn.to/2ZmSzdU","link*")</f>
        <v>link*</v>
      </c>
      <c r="N33" s="79"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33" s="84">
        <v>19</v>
      </c>
      <c r="P33" s="70" t="s">
        <v>27</v>
      </c>
      <c r="Q33" s="74">
        <v>9</v>
      </c>
      <c r="R33" s="136" t="s">
        <v>122</v>
      </c>
      <c r="S33" s="74" t="s">
        <v>78</v>
      </c>
      <c r="T33" s="88">
        <v>43252</v>
      </c>
    </row>
    <row r="34" spans="1:21" ht="13">
      <c r="A34" s="58" t="s">
        <v>145</v>
      </c>
      <c r="B34" s="60">
        <v>295</v>
      </c>
      <c r="C34" s="62">
        <v>28</v>
      </c>
      <c r="D34" s="64" t="s">
        <v>146</v>
      </c>
      <c r="E34" s="194">
        <v>73</v>
      </c>
      <c r="F34" s="195">
        <v>83</v>
      </c>
      <c r="G34" s="70" t="s">
        <v>36</v>
      </c>
      <c r="H34" s="72" t="s">
        <v>147</v>
      </c>
      <c r="I34" s="74">
        <v>0.19</v>
      </c>
      <c r="J34" s="76">
        <v>398</v>
      </c>
      <c r="K34" s="79" t="str">
        <f>HYPERLINK("https://www.amazon.com/gp/product/B00FYOFADE/ref=as_li_tl?ie=UTF8&amp;tag=wwwphillipree-20&amp;camp=1789&amp;creative=9325&amp;linkCode=as2&amp;creativeASIN=B00FYOFADE&amp;linkId=96720b245156eae53bb1a672d4453d3f","link*")</f>
        <v>link*</v>
      </c>
      <c r="L34" s="79" t="str">
        <f>HYPERLINK("https://www.bhphotovideo.com/c/product/1015472-REG/sony_sel2870_fe_28_70mm_f_3_5_5_6_oss.html/BI/19619/KBID/12129/DFF/d10-v21-t1-x473993/SID/EZ","link*")</f>
        <v>link*</v>
      </c>
      <c r="M34" s="79" t="str">
        <f>HYPERLINK("https://www.amazon.de/gp/product/B00HSHFPD0/ref=as_li_tl?ie=UTF8&amp;tag=wwwphillipree-21&amp;camp=1638&amp;creative=6742&amp;linkCode=as2&amp;creativeASIN=B00HSHFPD0&amp;linkId=6701f30673f8a4071232ca85e1953506","link*")</f>
        <v>link*</v>
      </c>
      <c r="N34" s="79"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34" s="84">
        <v>30</v>
      </c>
      <c r="P34" s="134" t="s">
        <v>66</v>
      </c>
      <c r="Q34" s="74">
        <v>7</v>
      </c>
      <c r="R34" s="136" t="s">
        <v>91</v>
      </c>
      <c r="S34" s="74" t="s">
        <v>41</v>
      </c>
      <c r="T34" s="88">
        <v>41548</v>
      </c>
    </row>
    <row r="35" spans="1:21" ht="13">
      <c r="A35" s="58" t="s">
        <v>151</v>
      </c>
      <c r="B35" s="60">
        <v>1215</v>
      </c>
      <c r="C35" s="62">
        <v>28</v>
      </c>
      <c r="D35" s="64">
        <v>4</v>
      </c>
      <c r="E35" s="194">
        <v>105</v>
      </c>
      <c r="F35" s="195">
        <v>165</v>
      </c>
      <c r="G35" s="70" t="s">
        <v>36</v>
      </c>
      <c r="H35" s="234" t="s">
        <v>152</v>
      </c>
      <c r="I35" s="125"/>
      <c r="J35" s="76">
        <v>249</v>
      </c>
      <c r="K35" s="79" t="str">
        <f>HYPERLINK("http://amzn.to/2v2kiy9","link*")</f>
        <v>link*</v>
      </c>
      <c r="L35" s="79" t="str">
        <f>HYPERLINK("https://www.bhphotovideo.com/c/product/1082051-REG/sony_selp28135g_e_pz_28_135mm_f_4.html/BI/19619/KBID/12129/DFF/d10-v21-t1-x556056/SID/EZ","link*")</f>
        <v>link*</v>
      </c>
      <c r="M35" s="79" t="str">
        <f>HYPERLINK("http://amzn.to/2wlpg9b","link*")</f>
        <v>link*</v>
      </c>
      <c r="N35" s="79"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35" s="84">
        <v>40</v>
      </c>
      <c r="P35" s="134" t="s">
        <v>66</v>
      </c>
      <c r="Q35" s="74">
        <v>9</v>
      </c>
      <c r="R35" s="136" t="s">
        <v>153</v>
      </c>
      <c r="S35" s="74" t="s">
        <v>41</v>
      </c>
      <c r="T35" s="88">
        <v>41883</v>
      </c>
      <c r="U35" s="77" t="s">
        <v>154</v>
      </c>
    </row>
    <row r="36" spans="1:21" ht="15.75" customHeight="1">
      <c r="A36" s="126" t="str">
        <f>HYPERLINK("https://phillipreeve.net/blog/review-sigma-35mm-1-2-art-dg-dn/","Sigma Art 1.2/35")</f>
        <v>Sigma Art 1.2/35</v>
      </c>
      <c r="B36" s="60">
        <v>1090</v>
      </c>
      <c r="C36" s="62">
        <v>35</v>
      </c>
      <c r="D36" s="235">
        <v>1.2</v>
      </c>
      <c r="E36" s="194">
        <v>88</v>
      </c>
      <c r="F36" s="195">
        <v>136</v>
      </c>
      <c r="G36" s="74" t="s">
        <v>36</v>
      </c>
      <c r="H36" s="236" t="s">
        <v>68</v>
      </c>
      <c r="I36" s="74">
        <v>0.19</v>
      </c>
      <c r="J36" s="76">
        <v>1499</v>
      </c>
      <c r="K36" s="79" t="str">
        <f>HYPERLINK("https://amzn.to/2LiHhxc","link*")</f>
        <v>link*</v>
      </c>
      <c r="L36" s="79" t="str">
        <f>HYPERLINK("https://www.bhphotovideo.com/c/product/1492967-REG/sigma_341969_35mm_f_1_2_dg_dn.html/BI/19619/KBID/12129/DFF/d10-v21-t1-x976038/SID/EZ","link*")</f>
        <v>link*</v>
      </c>
      <c r="M36" s="113"/>
      <c r="N36" s="79"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c r="O36" s="84">
        <v>30</v>
      </c>
      <c r="P36" s="70" t="s">
        <v>27</v>
      </c>
      <c r="Q36" s="74">
        <v>11</v>
      </c>
      <c r="R36" s="112">
        <v>43816</v>
      </c>
      <c r="S36" s="74" t="s">
        <v>47</v>
      </c>
      <c r="T36" s="88">
        <v>43647</v>
      </c>
    </row>
    <row r="37" spans="1:21" ht="13">
      <c r="A37" s="126" t="str">
        <f>HYPERLINK("https://phillipreeve.net/blog/review-sony-fe-35mm-1-4-za/","Sony ZA 1.4/35")</f>
        <v>Sony ZA 1.4/35</v>
      </c>
      <c r="B37" s="60">
        <v>630</v>
      </c>
      <c r="C37" s="62">
        <v>35</v>
      </c>
      <c r="D37" s="64">
        <v>1.4</v>
      </c>
      <c r="E37" s="194">
        <v>79</v>
      </c>
      <c r="F37" s="195">
        <v>112</v>
      </c>
      <c r="G37" s="74" t="s">
        <v>36</v>
      </c>
      <c r="H37" s="72" t="s">
        <v>64</v>
      </c>
      <c r="I37" s="74">
        <v>0.18</v>
      </c>
      <c r="J37" s="76">
        <v>1599</v>
      </c>
      <c r="K37" s="79" t="str">
        <f>HYPERLINK("https://amzn.to/2LRSMOS","link*")</f>
        <v>link*</v>
      </c>
      <c r="L37" s="79" t="str">
        <f>HYPERLINK("https://www.bhphotovideo.com/c/product/1126137-REG/sony_sel35f14z_distagon_t_fe_35mm.html/BI/19619/KBID/12129/DFF/d10-v21-t1-x612725/SID/EZ","link*")</f>
        <v>link*</v>
      </c>
      <c r="M37" s="79" t="str">
        <f>HYPERLINK("https://amzn.to/2ZmfSnX","link*")</f>
        <v>link*</v>
      </c>
      <c r="N37" s="79"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37" s="84">
        <v>30</v>
      </c>
      <c r="P37" s="70" t="s">
        <v>27</v>
      </c>
      <c r="Q37" s="74">
        <v>9</v>
      </c>
      <c r="R37" s="112">
        <v>43689</v>
      </c>
      <c r="S37" s="74" t="s">
        <v>41</v>
      </c>
      <c r="T37" s="88">
        <v>42064</v>
      </c>
    </row>
    <row r="38" spans="1:21" ht="13">
      <c r="A38" s="58" t="s">
        <v>155</v>
      </c>
      <c r="B38" s="60">
        <v>645</v>
      </c>
      <c r="C38" s="62">
        <v>35</v>
      </c>
      <c r="D38" s="64">
        <v>1.4</v>
      </c>
      <c r="E38" s="194">
        <v>76</v>
      </c>
      <c r="F38" s="176">
        <v>115</v>
      </c>
      <c r="G38" s="74" t="s">
        <v>36</v>
      </c>
      <c r="H38" s="72" t="s">
        <v>73</v>
      </c>
      <c r="I38" s="74">
        <v>0.17</v>
      </c>
      <c r="J38" s="76">
        <v>799</v>
      </c>
      <c r="K38" s="79" t="str">
        <f>HYPERLINK("https://amzn.to/2K8DDXH","link*")</f>
        <v>link*</v>
      </c>
      <c r="L38" s="79" t="str">
        <f t="shared" ref="L38:L39" si="0">HYPERLINK("https://www.bhphotovideo.com/c/product/1381712-REG/voigtlander_nokton_classic_35mm_f_1_4.html/BI/19619/KBID/12129/DFF/d10-v21-t1-x877353/SID/EZ","link*")</f>
        <v>link*</v>
      </c>
      <c r="M38" s="79" t="str">
        <f>HYPERLINK("https://amzn.to/2Zhl3FI","link*")</f>
        <v>link*</v>
      </c>
      <c r="N38" s="79"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38" s="84">
        <v>30</v>
      </c>
      <c r="P38" s="70" t="s">
        <v>27</v>
      </c>
      <c r="Q38" s="74">
        <v>9</v>
      </c>
      <c r="R38" s="112">
        <v>43719</v>
      </c>
      <c r="S38" s="74" t="s">
        <v>38</v>
      </c>
      <c r="T38" s="88">
        <v>43009</v>
      </c>
      <c r="U38" s="77" t="s">
        <v>156</v>
      </c>
    </row>
    <row r="39" spans="1:21" ht="13" hidden="1">
      <c r="A39" s="126" t="str">
        <f>HYPERLINK("https://phillipreeve.net/blog/review-voigtlander-35mm-1-4-nokton-e-classic/","Voigtlander 35mm F1.4 Nokton Classic")</f>
        <v>Voigtlander 35mm F1.4 Nokton Classic</v>
      </c>
      <c r="B39" s="60">
        <v>262</v>
      </c>
      <c r="C39" s="62">
        <v>35</v>
      </c>
      <c r="D39" s="64">
        <v>1.4</v>
      </c>
      <c r="E39" s="194">
        <v>67</v>
      </c>
      <c r="F39" s="176">
        <v>40</v>
      </c>
      <c r="G39" s="74" t="s">
        <v>25</v>
      </c>
      <c r="H39" s="72" t="s">
        <v>71</v>
      </c>
      <c r="I39" s="74">
        <v>0.16</v>
      </c>
      <c r="J39" s="76">
        <v>799</v>
      </c>
      <c r="K39" s="79" t="str">
        <f>HYPERLINK("https://amzn.to/2M1M8WH","link*")</f>
        <v>link*</v>
      </c>
      <c r="L39" s="79" t="str">
        <f t="shared" si="0"/>
        <v>link*</v>
      </c>
      <c r="M39" s="79" t="str">
        <f>HYPERLINK("https://amzn.to/2ZswTZ3","link*")</f>
        <v>link*</v>
      </c>
      <c r="N39" s="79"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c r="O39" s="84">
        <v>30</v>
      </c>
      <c r="P39" s="70" t="s">
        <v>27</v>
      </c>
      <c r="Q39" s="74">
        <v>10</v>
      </c>
      <c r="R39" s="112">
        <v>43624</v>
      </c>
      <c r="S39" s="74" t="s">
        <v>29</v>
      </c>
      <c r="T39" s="88">
        <v>43132</v>
      </c>
    </row>
    <row r="40" spans="1:21" ht="15.75" customHeight="1">
      <c r="A40" s="126" t="str">
        <f>HYPERLINK("https://phillipreeve.net/blog/review-sigma-35mm-1-4-art/","Sigma Art 1.4/35")</f>
        <v>Sigma Art 1.4/35</v>
      </c>
      <c r="B40" s="60">
        <v>740</v>
      </c>
      <c r="C40" s="62">
        <v>35</v>
      </c>
      <c r="D40" s="64">
        <v>1.4</v>
      </c>
      <c r="E40" s="194">
        <v>77</v>
      </c>
      <c r="F40" s="176">
        <v>94</v>
      </c>
      <c r="G40" s="74" t="s">
        <v>36</v>
      </c>
      <c r="H40" s="72" t="s">
        <v>73</v>
      </c>
      <c r="I40" s="74">
        <v>0.19</v>
      </c>
      <c r="J40" s="156">
        <v>899</v>
      </c>
      <c r="K40" s="79" t="str">
        <f>HYPERLINK("https://amzn.to/2LOaQcZ","link*")</f>
        <v>link*</v>
      </c>
      <c r="L40" s="79" t="str">
        <f>HYPERLINK("https://www.bhphotovideo.com/c/product/1393492-REG/sigma_35mm_f_1_4_dg_hsm.html/BI/19619/KBID/12129/DFF/d10-v21-t1-x881157/SID/EZ","link*")</f>
        <v>link*</v>
      </c>
      <c r="M40" s="79" t="str">
        <f>HYPERLINK("https://amzn.to/2ZrfakE","link*")</f>
        <v>link*</v>
      </c>
      <c r="N40" s="79"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O40" s="84">
        <v>30</v>
      </c>
      <c r="P40" s="70" t="s">
        <v>27</v>
      </c>
      <c r="Q40" s="74">
        <v>9</v>
      </c>
      <c r="R40" s="112">
        <v>43782</v>
      </c>
      <c r="S40" s="74" t="s">
        <v>47</v>
      </c>
      <c r="T40" s="88">
        <v>43221</v>
      </c>
      <c r="U40" s="77" t="s">
        <v>48</v>
      </c>
    </row>
    <row r="41" spans="1:21" ht="13">
      <c r="A41" s="58" t="s">
        <v>157</v>
      </c>
      <c r="B41" s="60">
        <v>280</v>
      </c>
      <c r="C41" s="62">
        <v>35</v>
      </c>
      <c r="D41" s="64">
        <v>1.8</v>
      </c>
      <c r="E41" s="194">
        <v>66</v>
      </c>
      <c r="F41" s="176">
        <v>73</v>
      </c>
      <c r="G41" s="74" t="s">
        <v>36</v>
      </c>
      <c r="H41" s="72" t="s">
        <v>147</v>
      </c>
      <c r="I41" s="239">
        <v>0.24</v>
      </c>
      <c r="J41" s="76">
        <v>749</v>
      </c>
      <c r="K41" s="113"/>
      <c r="L41" s="79" t="str">
        <f>HYPERLINK("https://www.bhphotovideo.com/c/product/1492866-REG/sony_sel35f18f_35mm_f_1_8_fe_lens.html/BI/19619/KBID/12129/DFF/d10-v21-t1-x975763/SID/EZ","link*")</f>
        <v>link*</v>
      </c>
      <c r="M41" s="79" t="str">
        <f>HYPERLINK("https://amzn.to/2PiATLC","link*")</f>
        <v>link*</v>
      </c>
      <c r="N41" s="79"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41" s="84">
        <v>22</v>
      </c>
      <c r="P41" s="70" t="s">
        <v>27</v>
      </c>
      <c r="Q41" s="74">
        <v>9</v>
      </c>
      <c r="R41" s="112">
        <v>43719</v>
      </c>
      <c r="S41" s="74" t="s">
        <v>41</v>
      </c>
      <c r="T41" s="88">
        <v>43647</v>
      </c>
    </row>
    <row r="42" spans="1:21" ht="13" hidden="1">
      <c r="A42" s="126" t="str">
        <f>HYPERLINK("https://phillipreeve.net/blog/review-zeiss-loxia-35mm-2-0/","Zeiss Loxia 2/35 Biogon T*")</f>
        <v>Zeiss Loxia 2/35 Biogon T*</v>
      </c>
      <c r="B42" s="60">
        <v>340</v>
      </c>
      <c r="C42" s="62">
        <v>35</v>
      </c>
      <c r="D42" s="64">
        <v>2</v>
      </c>
      <c r="E42" s="194">
        <v>62</v>
      </c>
      <c r="F42" s="195">
        <v>66</v>
      </c>
      <c r="G42" s="74" t="s">
        <v>25</v>
      </c>
      <c r="H42" s="72" t="s">
        <v>131</v>
      </c>
      <c r="I42" s="74">
        <v>0.17</v>
      </c>
      <c r="J42" s="76">
        <v>1299</v>
      </c>
      <c r="K42" s="79" t="str">
        <f>HYPERLINK("https://amzn.to/2T2sJWe","link*")</f>
        <v>link*</v>
      </c>
      <c r="L42" s="79" t="str">
        <f>HYPERLINK("https://www.bhphotovideo.com/c/product/1080388-REG/zeiss_2103_749_loxia_35mm_f_2_biogon.html/BI/19619/KBID/12129/DFF/d10-v21-t1-x553792/SID/EZ","link*")</f>
        <v>link*</v>
      </c>
      <c r="M42" s="113" t="s">
        <v>51</v>
      </c>
      <c r="N42" s="79"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O42" s="84">
        <v>30</v>
      </c>
      <c r="P42" s="70" t="s">
        <v>27</v>
      </c>
      <c r="Q42" s="74">
        <v>10</v>
      </c>
      <c r="R42" s="112">
        <v>43625</v>
      </c>
      <c r="S42" s="74" t="s">
        <v>87</v>
      </c>
      <c r="T42" s="88">
        <v>41974</v>
      </c>
      <c r="U42" s="77" t="s">
        <v>166</v>
      </c>
    </row>
    <row r="43" spans="1:21" ht="13">
      <c r="A43" s="126" t="str">
        <f>HYPERLINK("http://www.photozone.de/sonyalphaff/865-zeiss35f28ff","Sony ZA 2.8/35")</f>
        <v>Sony ZA 2.8/35</v>
      </c>
      <c r="B43" s="60">
        <v>120</v>
      </c>
      <c r="C43" s="62">
        <v>35</v>
      </c>
      <c r="D43" s="64">
        <v>2.8</v>
      </c>
      <c r="E43" s="194">
        <v>62</v>
      </c>
      <c r="F43" s="195">
        <v>37</v>
      </c>
      <c r="G43" s="74" t="s">
        <v>36</v>
      </c>
      <c r="H43" s="72" t="s">
        <v>124</v>
      </c>
      <c r="I43" s="74">
        <v>0.12</v>
      </c>
      <c r="J43" s="76">
        <v>798</v>
      </c>
      <c r="K43" s="79" t="str">
        <f>HYPERLINK("https://amzn.to/2yvhL24","link*")</f>
        <v>link*</v>
      </c>
      <c r="L43" s="79" t="str">
        <f>HYPERLINK("https://www.bhphotovideo.com/c/product/1008123-REG/sony_sel35f28z_sonnar_t_fe_35mm.html/BI/19619/KBID/12129/DFF/d10-v21-t1-x466840/SID/EZ","link*")</f>
        <v>link*</v>
      </c>
      <c r="M43" s="113" t="s">
        <v>51</v>
      </c>
      <c r="N43" s="79"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43" s="84">
        <v>35</v>
      </c>
      <c r="P43" s="70" t="s">
        <v>27</v>
      </c>
      <c r="Q43" s="74">
        <v>9</v>
      </c>
      <c r="R43" s="112">
        <v>43592</v>
      </c>
      <c r="S43" s="74" t="s">
        <v>41</v>
      </c>
      <c r="T43" s="88">
        <v>41487</v>
      </c>
    </row>
    <row r="44" spans="1:21" ht="13">
      <c r="A44" s="58" t="s">
        <v>158</v>
      </c>
      <c r="B44" s="60">
        <v>86</v>
      </c>
      <c r="C44" s="62">
        <v>35</v>
      </c>
      <c r="D44" s="64">
        <v>2.8</v>
      </c>
      <c r="E44" s="194">
        <v>62</v>
      </c>
      <c r="F44" s="195">
        <v>33</v>
      </c>
      <c r="G44" s="74" t="s">
        <v>36</v>
      </c>
      <c r="H44" s="72" t="s">
        <v>124</v>
      </c>
      <c r="I44" s="74">
        <v>0.12</v>
      </c>
      <c r="J44" s="241">
        <v>399</v>
      </c>
      <c r="K44" s="79" t="str">
        <f t="shared" ref="K44:K45" si="1">HYPERLINK("https://amzn.to/2MGKrxp","link*")</f>
        <v>link*</v>
      </c>
      <c r="L44" s="79" t="str">
        <f>HYPERLINK("https://www.bhphotovideo.com/c/product/1348365-REG/samyang_syio35af_e_35mm_f2_8_compact_wide.html/BI/19619/KBID/12129/DFF/d10-v21-t1-x832776/SID/EZ","link*")</f>
        <v>link*</v>
      </c>
      <c r="M44" s="113" t="s">
        <v>51</v>
      </c>
      <c r="N44" s="79"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44" s="84">
        <v>35</v>
      </c>
      <c r="P44" s="70" t="s">
        <v>27</v>
      </c>
      <c r="Q44" s="74">
        <v>9</v>
      </c>
      <c r="R44" s="112">
        <v>43623</v>
      </c>
      <c r="S44" s="74" t="s">
        <v>38</v>
      </c>
      <c r="T44" s="88">
        <v>42917</v>
      </c>
    </row>
    <row r="45" spans="1:21" ht="13" hidden="1">
      <c r="A45" s="126" t="str">
        <f>HYPERLINK("https://phillipreeve.net/blog/voigtlander-40mm-f1-2-nokton-aspherical-rolling-review/","Voigtlander 40mm F1.2 Nokton")</f>
        <v>Voigtlander 40mm F1.2 Nokton</v>
      </c>
      <c r="B45" s="60">
        <v>420</v>
      </c>
      <c r="C45" s="62">
        <v>40</v>
      </c>
      <c r="D45" s="304">
        <v>1.2</v>
      </c>
      <c r="E45" s="194">
        <v>70</v>
      </c>
      <c r="F45" s="195">
        <v>59</v>
      </c>
      <c r="G45" s="74" t="s">
        <v>25</v>
      </c>
      <c r="H45" s="72" t="s">
        <v>71</v>
      </c>
      <c r="I45" s="74">
        <v>0.16</v>
      </c>
      <c r="J45" s="76">
        <v>1099</v>
      </c>
      <c r="K45" s="79" t="str">
        <f t="shared" si="1"/>
        <v>link*</v>
      </c>
      <c r="L45" s="79" t="str">
        <f>HYPERLINK("https://www.bhphotovideo.com/c/product/1362557-REG/voigtlander_nokton_40mm_f_1_2_aspherical.html/BI/19619/KBID/12129/DFF/d10-v21-t1-x851241/SID/EZ","link*")</f>
        <v>link*</v>
      </c>
      <c r="M45" s="113" t="s">
        <v>51</v>
      </c>
      <c r="N45" s="79"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c r="O45" s="84">
        <v>35</v>
      </c>
      <c r="P45" s="70" t="s">
        <v>27</v>
      </c>
      <c r="Q45" s="74">
        <v>10</v>
      </c>
      <c r="R45" s="112">
        <v>43624</v>
      </c>
      <c r="S45" s="74" t="s">
        <v>29</v>
      </c>
      <c r="T45" s="88">
        <v>43040</v>
      </c>
    </row>
    <row r="46" spans="1:21" ht="13">
      <c r="A46" s="126" t="str">
        <f>HYPERLINK("https://phillipreeve.net/blog/review-sigma-40mm-1-4-art/","Sigma Art 1.4/40")</f>
        <v>Sigma Art 1.4/40</v>
      </c>
      <c r="B46" s="60">
        <v>1200</v>
      </c>
      <c r="C46" s="62">
        <v>40</v>
      </c>
      <c r="D46" s="64">
        <v>1.4</v>
      </c>
      <c r="E46" s="194">
        <v>88</v>
      </c>
      <c r="F46" s="176">
        <v>157</v>
      </c>
      <c r="G46" s="74" t="s">
        <v>36</v>
      </c>
      <c r="H46" s="244" t="s">
        <v>68</v>
      </c>
      <c r="I46" s="74">
        <v>0.15</v>
      </c>
      <c r="J46" s="76">
        <v>1399</v>
      </c>
      <c r="K46" s="79" t="str">
        <f>HYPERLINK("https://amzn.to/2SYXFXq","link*")</f>
        <v>link*</v>
      </c>
      <c r="L46" s="79" t="str">
        <f>HYPERLINK("https://www.bhphotovideo.com/c/product/1436292-REG/sigma_40mm_f_1_4_dg_hsm.html/BI/19619/KBID/12129/DFF/d10-v21-t1-x925196/SID/EZ","link*")</f>
        <v>link*</v>
      </c>
      <c r="M46" s="113" t="s">
        <v>51</v>
      </c>
      <c r="N46" s="79"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O46" s="84">
        <v>40</v>
      </c>
      <c r="P46" s="70" t="s">
        <v>27</v>
      </c>
      <c r="Q46" s="74">
        <v>9</v>
      </c>
      <c r="R46" s="112">
        <v>43815</v>
      </c>
      <c r="S46" s="74" t="s">
        <v>47</v>
      </c>
      <c r="T46" s="88">
        <v>43435</v>
      </c>
      <c r="U46" s="77" t="s">
        <v>48</v>
      </c>
    </row>
    <row r="47" spans="1:21" ht="13">
      <c r="A47" s="126" t="str">
        <f>HYPERLINK("https://phillipreeve.net/blog/review-zeiss-batis-2-40-cf/","Zeiss Batis 2/40 CF T*")</f>
        <v>Zeiss Batis 2/40 CF T*</v>
      </c>
      <c r="B47" s="60">
        <v>361</v>
      </c>
      <c r="C47" s="62">
        <v>40</v>
      </c>
      <c r="D47" s="64">
        <v>2</v>
      </c>
      <c r="E47" s="194">
        <v>91</v>
      </c>
      <c r="F47" s="176">
        <v>93</v>
      </c>
      <c r="G47" s="74" t="s">
        <v>36</v>
      </c>
      <c r="H47" s="72" t="s">
        <v>73</v>
      </c>
      <c r="I47" s="239">
        <v>0.3</v>
      </c>
      <c r="J47" s="76">
        <v>1299</v>
      </c>
      <c r="K47" s="79" t="str">
        <f>HYPERLINK("https://amzn.to/2LUN0MF","link*")</f>
        <v>link*</v>
      </c>
      <c r="L47" s="79" t="str">
        <f>HYPERLINK("https://www.bhphotovideo.com/c/product/1436738-REG/zeiss_000000_2239_137_batis_40mm_f_2_cf.html/BI/19619/KBID/12129/DFF/d10-v21-t1-x915694/SID/EZ","link*")</f>
        <v>link*</v>
      </c>
      <c r="M47" s="113" t="s">
        <v>51</v>
      </c>
      <c r="N47" s="79"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47" s="84">
        <v>24</v>
      </c>
      <c r="P47" s="70" t="s">
        <v>27</v>
      </c>
      <c r="Q47" s="74">
        <v>9</v>
      </c>
      <c r="R47" s="112">
        <v>43686</v>
      </c>
      <c r="S47" s="74" t="s">
        <v>87</v>
      </c>
      <c r="T47" s="88">
        <v>43435</v>
      </c>
      <c r="U47" s="77" t="s">
        <v>159</v>
      </c>
    </row>
    <row r="48" spans="1:21" ht="13">
      <c r="A48" s="58" t="s">
        <v>160</v>
      </c>
      <c r="B48" s="60">
        <v>162</v>
      </c>
      <c r="C48" s="62">
        <v>45</v>
      </c>
      <c r="D48" s="64">
        <v>1.8</v>
      </c>
      <c r="E48" s="194">
        <v>62</v>
      </c>
      <c r="F48" s="176">
        <v>56</v>
      </c>
      <c r="G48" s="74" t="s">
        <v>36</v>
      </c>
      <c r="H48" s="72" t="s">
        <v>124</v>
      </c>
      <c r="I48" s="74">
        <v>0.12</v>
      </c>
      <c r="J48" s="184">
        <v>399</v>
      </c>
      <c r="K48" s="79" t="str">
        <f>HYPERLINK("https://amzn.to/2YC6MST","link*")</f>
        <v>link*</v>
      </c>
      <c r="L48" s="79" t="str">
        <f>HYPERLINK("https://www.bhphotovideo.com/c/product/1478738-REG/samyang_af_45mm_f_1_8_fe.html/BI/19619/KBID/12129/DFF/d10-v21-t1-x964329/SID/EZ","link*")</f>
        <v>link*</v>
      </c>
      <c r="M48" s="113" t="s">
        <v>51</v>
      </c>
      <c r="N48" s="79"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48" s="84">
        <v>45</v>
      </c>
      <c r="P48" s="70" t="s">
        <v>27</v>
      </c>
      <c r="Q48" s="74">
        <v>9</v>
      </c>
      <c r="R48" s="112">
        <v>43623</v>
      </c>
      <c r="S48" s="74" t="s">
        <v>38</v>
      </c>
      <c r="T48" s="88">
        <v>43647</v>
      </c>
    </row>
    <row r="49" spans="1:21" ht="13">
      <c r="A49" s="58" t="s">
        <v>161</v>
      </c>
      <c r="B49" s="60">
        <v>215</v>
      </c>
      <c r="C49" s="62">
        <v>45</v>
      </c>
      <c r="D49" s="64">
        <v>2.8</v>
      </c>
      <c r="E49" s="194">
        <v>64</v>
      </c>
      <c r="F49" s="195">
        <v>46</v>
      </c>
      <c r="G49" s="74" t="s">
        <v>36</v>
      </c>
      <c r="H49" s="72" t="s">
        <v>147</v>
      </c>
      <c r="I49" s="201">
        <v>0.25</v>
      </c>
      <c r="J49" s="76">
        <v>549</v>
      </c>
      <c r="K49" s="79" t="str">
        <f>HYPERLINK("https://amzn.to/2SYEvAX","link*")</f>
        <v>link*</v>
      </c>
      <c r="L49" s="79" t="str">
        <f>HYPERLINK("https://www.bhphotovideo.com/c/product/1492966-REG/sigma_360965_45mm_f_2_8_dg_dn.html/BI/19619/KBID/12129/DFF/d10-v21-t1-x976020/SID/EZ","link*")</f>
        <v>link*</v>
      </c>
      <c r="M49" s="113" t="s">
        <v>51</v>
      </c>
      <c r="N49" s="79"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O49" s="84">
        <v>24</v>
      </c>
      <c r="P49" s="70" t="s">
        <v>27</v>
      </c>
      <c r="Q49" s="74">
        <v>7</v>
      </c>
      <c r="R49" s="112">
        <v>43654</v>
      </c>
      <c r="S49" s="74" t="s">
        <v>47</v>
      </c>
      <c r="T49" s="88">
        <v>43647</v>
      </c>
      <c r="U49" s="77" t="s">
        <v>162</v>
      </c>
    </row>
    <row r="50" spans="1:21" ht="13" hidden="1">
      <c r="A50" s="126" t="str">
        <f>HYPERLINK("https://phillipreeve.net/blog/review-voigtlander-50mm-1-2-nokton-e/","Voigtlander 50mm F1.2 Nokton")</f>
        <v>Voigtlander 50mm F1.2 Nokton</v>
      </c>
      <c r="B50" s="60">
        <v>440</v>
      </c>
      <c r="C50" s="62">
        <v>50</v>
      </c>
      <c r="D50" s="304">
        <v>1.2</v>
      </c>
      <c r="E50" s="194">
        <v>70</v>
      </c>
      <c r="F50" s="195">
        <v>58</v>
      </c>
      <c r="G50" s="74" t="s">
        <v>25</v>
      </c>
      <c r="H50" s="72" t="s">
        <v>71</v>
      </c>
      <c r="I50" s="125"/>
      <c r="J50" s="76">
        <v>1099</v>
      </c>
      <c r="K50" s="79" t="str">
        <f>HYPERLINK("https://amzn.to/2OAfE7N","link*")</f>
        <v>link*</v>
      </c>
      <c r="L50" s="79" t="str">
        <f>HYPERLINK("https://www.bhphotovideo.com/c/product/1433349-REG/voigtlander_ba348a_nokton_50mm_f_1_2_aspherical.html/BI/19619/KBID/12129/DFF/d10-v21-t1-x915623/SID/EZ","link*")</f>
        <v>link*</v>
      </c>
      <c r="M50" s="113" t="s">
        <v>51</v>
      </c>
      <c r="N50" s="79" t="e">
        <f>HYPERLINK("http://rover.ebay.com/rover/1/711-53200-19255-0/1?icep_ff3=9&amp;pub=5575076376&amp;toolid=10001&amp;campid=5338164340&amp;customid=&amp;icep_uq=sony+50+1.2&amp;icep_sellerId=&amp;icep_ex_kw=&amp;icep_sortBy=12&amp;icep_catId=3323&amp;icep_minPrice=&amp;icep_maxPrice=&amp;ipn=psmain&amp;icep_vectorid=22946"&amp;"6&amp;kwid=902099&amp;mtid=824&amp;kw=lg","link*")</f>
        <v>#VALUE!</v>
      </c>
      <c r="O50" s="84">
        <v>45</v>
      </c>
      <c r="P50" s="70" t="s">
        <v>27</v>
      </c>
      <c r="Q50" s="74">
        <v>12</v>
      </c>
      <c r="R50" s="112">
        <v>43624</v>
      </c>
      <c r="S50" s="74" t="s">
        <v>29</v>
      </c>
      <c r="T50" s="88">
        <v>43556</v>
      </c>
    </row>
    <row r="51" spans="1:21" ht="13">
      <c r="A51" s="58" t="s">
        <v>163</v>
      </c>
      <c r="B51" s="60">
        <v>778</v>
      </c>
      <c r="C51" s="62">
        <v>50</v>
      </c>
      <c r="D51" s="64">
        <v>1.4</v>
      </c>
      <c r="E51" s="194">
        <v>84</v>
      </c>
      <c r="F51" s="195">
        <v>108</v>
      </c>
      <c r="G51" s="74" t="s">
        <v>36</v>
      </c>
      <c r="H51" s="72" t="s">
        <v>64</v>
      </c>
      <c r="I51" s="74">
        <v>0.15</v>
      </c>
      <c r="J51" s="76">
        <v>1499</v>
      </c>
      <c r="K51" s="79" t="str">
        <f>HYPERLINK("https://amzn.to/2K88EL7","link*")</f>
        <v>link*</v>
      </c>
      <c r="L51" s="113" t="s">
        <v>51</v>
      </c>
      <c r="M51" s="113" t="s">
        <v>51</v>
      </c>
      <c r="N51" s="79"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51" s="84">
        <v>45</v>
      </c>
      <c r="P51" s="70" t="s">
        <v>27</v>
      </c>
      <c r="Q51" s="74">
        <v>11</v>
      </c>
      <c r="R51" s="112">
        <v>43720</v>
      </c>
      <c r="S51" s="74" t="s">
        <v>41</v>
      </c>
      <c r="T51" s="88">
        <v>42583</v>
      </c>
    </row>
    <row r="52" spans="1:21" ht="13">
      <c r="A52" s="58" t="s">
        <v>164</v>
      </c>
      <c r="B52" s="60">
        <v>815</v>
      </c>
      <c r="C52" s="62">
        <v>50</v>
      </c>
      <c r="D52" s="64">
        <v>1.4</v>
      </c>
      <c r="E52" s="194">
        <v>85</v>
      </c>
      <c r="F52" s="195">
        <v>100</v>
      </c>
      <c r="G52" s="74" t="s">
        <v>36</v>
      </c>
      <c r="H52" s="72" t="s">
        <v>80</v>
      </c>
      <c r="I52" s="74">
        <v>0.18</v>
      </c>
      <c r="J52" s="76">
        <v>949</v>
      </c>
      <c r="K52" s="79" t="str">
        <f>HYPERLINK("https://amzn.to/2K4JmyT","link*")</f>
        <v>link*</v>
      </c>
      <c r="L52" s="79" t="str">
        <f>HYPERLINK("https://www.bhphotovideo.com/c/product/1393493-REG/sigma_50mm_f_1_4_dg_hsm.html/BI/19619/KBID/12129/kw/SI5014SO/DFF/d10-v2-t1-xSI5014SO","link*")</f>
        <v>link*</v>
      </c>
      <c r="M52" s="79" t="str">
        <f>HYPERLINK("https://amzn.to/2Wpdoz5","link*")</f>
        <v>link*</v>
      </c>
      <c r="N52" s="79" t="e">
        <f>HYPERLINK("http://rover.ebay.com/rover/1/711-53200-19255-0/1?icep_ff3=9&amp;pub=5575076376&amp;toolid=10001&amp;campid=5338164340&amp;customid=&amp;icep_uq=sony+50+1.4+za+-ssm&amp;icep_sellerId=&amp;icep_ex_kw=&amp;icep_sortBy=12&amp;icep_catId=3323&amp;icep_minPrice=&amp;icep_maxPrice=&amp;ipn=psmain&amp;icep_vector"&amp;"id=229466&amp;kwid=902099&amp;mtid=824&amp;kw=lg","link*")</f>
        <v>#VALUE!</v>
      </c>
      <c r="O52" s="84">
        <v>40</v>
      </c>
      <c r="P52" s="70" t="s">
        <v>27</v>
      </c>
      <c r="Q52" s="74">
        <v>9</v>
      </c>
      <c r="R52" s="112">
        <v>43690</v>
      </c>
      <c r="S52" s="74" t="s">
        <v>47</v>
      </c>
      <c r="T52" s="88">
        <v>43221</v>
      </c>
      <c r="U52" s="77" t="s">
        <v>48</v>
      </c>
    </row>
    <row r="53" spans="1:21" ht="13">
      <c r="A53" s="58" t="s">
        <v>165</v>
      </c>
      <c r="B53" s="60">
        <v>585</v>
      </c>
      <c r="C53" s="62">
        <v>50</v>
      </c>
      <c r="D53" s="64">
        <v>1.4</v>
      </c>
      <c r="E53" s="194">
        <v>74</v>
      </c>
      <c r="F53" s="195">
        <v>98</v>
      </c>
      <c r="G53" s="74" t="s">
        <v>36</v>
      </c>
      <c r="H53" s="72" t="s">
        <v>73</v>
      </c>
      <c r="I53" s="74">
        <v>0.15</v>
      </c>
      <c r="J53" s="76">
        <v>699</v>
      </c>
      <c r="K53" s="79" t="str">
        <f>HYPERLINK("https://amzn.to/2SY1Pyr","link*")</f>
        <v>link*</v>
      </c>
      <c r="L53" s="79" t="str">
        <f>HYPERLINK("https://www.bhphotovideo.com/c/product/1352862-REG/samyang_syio50af_e_50mm_f_1_4_auto_focus.html/BI/19619/KBID/12129/DFF/d10-v21-t1-x837927/SID/EZ","link*")</f>
        <v>link*</v>
      </c>
      <c r="M53" s="113" t="s">
        <v>51</v>
      </c>
      <c r="N53" s="79"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53" s="84">
        <v>45</v>
      </c>
      <c r="P53" s="70" t="s">
        <v>27</v>
      </c>
      <c r="Q53" s="74">
        <v>9</v>
      </c>
      <c r="R53" s="112">
        <v>43686</v>
      </c>
      <c r="S53" s="74" t="s">
        <v>38</v>
      </c>
      <c r="T53" s="88">
        <v>42583</v>
      </c>
    </row>
    <row r="54" spans="1:21" ht="13">
      <c r="A54" s="126" t="str">
        <f>HYPERLINK("https://phillipreeve.net/blog/review-sony-fe-1-850/","Sony 50mm F1.8")</f>
        <v>Sony 50mm F1.8</v>
      </c>
      <c r="B54" s="60">
        <v>186</v>
      </c>
      <c r="C54" s="62">
        <v>50</v>
      </c>
      <c r="D54" s="64">
        <v>1.8</v>
      </c>
      <c r="E54" s="194">
        <v>69</v>
      </c>
      <c r="F54" s="195">
        <v>60</v>
      </c>
      <c r="G54" s="74" t="s">
        <v>36</v>
      </c>
      <c r="H54" s="72" t="s">
        <v>124</v>
      </c>
      <c r="I54" s="74">
        <v>0.14000000000000001</v>
      </c>
      <c r="J54" s="156">
        <v>249</v>
      </c>
      <c r="K54" s="79" t="str">
        <f>HYPERLINK("http://amzn.to/2v2F5Se","link*")</f>
        <v>link*</v>
      </c>
      <c r="L54" s="79" t="str">
        <f>HYPERLINK("https://www.bhphotovideo.com/c/product/1242613-REG/sony_sel50f18f_fe_50mm_f_1_8_lens.html/BI/19619/KBID/12129/kw/SO5018F/DFF/d10-v2-t1-xSO5018F","link*")</f>
        <v>link*</v>
      </c>
      <c r="M54" s="79" t="str">
        <f>HYPERLINK("http://amzn.to/2wyHB25","link*")</f>
        <v>link*</v>
      </c>
      <c r="N54"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54" s="84">
        <v>45</v>
      </c>
      <c r="P54" s="70" t="s">
        <v>27</v>
      </c>
      <c r="Q54" s="74">
        <v>7</v>
      </c>
      <c r="R54" s="112">
        <v>43591</v>
      </c>
      <c r="S54" s="74" t="s">
        <v>41</v>
      </c>
      <c r="T54" s="88">
        <v>42430</v>
      </c>
    </row>
    <row r="55" spans="1:21" ht="13" hidden="1">
      <c r="A55" s="126" t="str">
        <f>HYPERLINK("https://phillipreeve.net/blog/review-zeiss-loxia-planar-250-t/","Zeiss Loxia 50mm F2")</f>
        <v>Zeiss Loxia 50mm F2</v>
      </c>
      <c r="B55" s="60">
        <v>320</v>
      </c>
      <c r="C55" s="62">
        <v>50</v>
      </c>
      <c r="D55" s="64">
        <v>2</v>
      </c>
      <c r="E55" s="194">
        <v>62</v>
      </c>
      <c r="F55" s="195">
        <v>60</v>
      </c>
      <c r="G55" s="74" t="s">
        <v>25</v>
      </c>
      <c r="H55" s="72" t="s">
        <v>131</v>
      </c>
      <c r="I55" s="74">
        <v>0.15</v>
      </c>
      <c r="J55" s="76">
        <v>949</v>
      </c>
      <c r="K55" s="79" t="str">
        <f>HYPERLINK("http://amzn.to/2faVsIu","link*")</f>
        <v>link*</v>
      </c>
      <c r="L55" s="79" t="str">
        <f>HYPERLINK("https://www.bhphotovideo.com/c/product/1080387-REG/zeiss_2103_748_loxia_50mm_f_2_planar.html/BI/19619/KBID/12129/kw/ZE502LFE/DFF/d10-v2-t1-xZE502LFE","link*")</f>
        <v>link*</v>
      </c>
      <c r="M55" s="79" t="str">
        <f>HYPERLINK("http://amzn.to/2wyJAU4","link*")</f>
        <v>link*</v>
      </c>
      <c r="N55" s="79"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O55" s="84">
        <v>45</v>
      </c>
      <c r="P55" s="70" t="s">
        <v>27</v>
      </c>
      <c r="Q55" s="74">
        <v>10</v>
      </c>
      <c r="R55" s="112">
        <v>43561</v>
      </c>
      <c r="S55" s="74" t="s">
        <v>87</v>
      </c>
      <c r="T55" s="88">
        <v>41913</v>
      </c>
      <c r="U55" s="77" t="s">
        <v>166</v>
      </c>
    </row>
    <row r="56" spans="1:21" ht="13">
      <c r="A56" s="126" t="str">
        <f>HYPERLINK("https://phillipreeve.net/blog/rolling-review-sony-fe-2-850-macro/","Sony 50mm F/2.8 Macro")</f>
        <v>Sony 50mm F/2.8 Macro</v>
      </c>
      <c r="B56" s="60">
        <v>236</v>
      </c>
      <c r="C56" s="62">
        <v>50</v>
      </c>
      <c r="D56" s="64">
        <v>1.8</v>
      </c>
      <c r="E56" s="194">
        <v>72</v>
      </c>
      <c r="F56" s="195">
        <v>71</v>
      </c>
      <c r="G56" s="74" t="s">
        <v>36</v>
      </c>
      <c r="H56" s="72" t="s">
        <v>147</v>
      </c>
      <c r="I56" s="263">
        <v>1</v>
      </c>
      <c r="J56" s="184">
        <v>499</v>
      </c>
      <c r="K56" s="79" t="str">
        <f>HYPERLINK("http://amzn.to/2v2g0qz","link*")</f>
        <v>link*</v>
      </c>
      <c r="L56" s="79" t="str">
        <f>HYPERLINK("https://www.bhphotovideo.com/c/product/1277527-REG/sony_sel50m28_fe_50mm_f_2_8_macro.html/BI/19619/KBID/12129/kw/SO5028FF/DFF/d10-v2-t1-xSO5028FF","link*")</f>
        <v>link*</v>
      </c>
      <c r="M56" s="79" t="str">
        <f>HYPERLINK("http://amzn.to/2vbknRN","link*")</f>
        <v>link*</v>
      </c>
      <c r="N56" s="79"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O56" s="84">
        <v>16</v>
      </c>
      <c r="P56" s="70" t="s">
        <v>27</v>
      </c>
      <c r="Q56" s="74">
        <v>7</v>
      </c>
      <c r="R56" s="112">
        <v>43654</v>
      </c>
      <c r="S56" s="74" t="s">
        <v>41</v>
      </c>
      <c r="T56" s="88">
        <v>42614</v>
      </c>
    </row>
    <row r="57" spans="1:21" ht="13">
      <c r="A57" s="126" t="str">
        <f>HYPERLINK("https://phillipreeve.net/blog/sony-fe-1-855-za-sonnar-t-review/","Sony ZA 55mm F1.8 Sonnar")</f>
        <v>Sony ZA 55mm F1.8 Sonnar</v>
      </c>
      <c r="B57" s="60">
        <v>281</v>
      </c>
      <c r="C57" s="62">
        <v>55</v>
      </c>
      <c r="D57" s="64">
        <v>1.8</v>
      </c>
      <c r="E57" s="194">
        <v>64</v>
      </c>
      <c r="F57" s="195">
        <v>71</v>
      </c>
      <c r="G57" s="74" t="s">
        <v>36</v>
      </c>
      <c r="H57" s="72" t="s">
        <v>124</v>
      </c>
      <c r="I57" s="74">
        <v>0.14000000000000001</v>
      </c>
      <c r="J57" s="76">
        <v>999</v>
      </c>
      <c r="K57" s="79" t="str">
        <f>HYPERLINK("https://amzn.to/2ywdgEk","link*")</f>
        <v>link*</v>
      </c>
      <c r="L57" s="79" t="str">
        <f>HYPERLINK("https://www.bhphotovideo.com/c/product/1008124-REG/sony_sel55f18z_sonnar_t_fe_55mm.html/BI/19619/KBID/12129/DFF/d10-v21-t1-x466841/SID/EZ","link*")</f>
        <v>link*</v>
      </c>
      <c r="M57" s="113" t="s">
        <v>51</v>
      </c>
      <c r="N57" s="79"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57" s="84">
        <v>50</v>
      </c>
      <c r="P57" s="70" t="s">
        <v>27</v>
      </c>
      <c r="Q57" s="74">
        <v>9</v>
      </c>
      <c r="R57" s="112">
        <v>43592</v>
      </c>
      <c r="S57" s="74" t="s">
        <v>41</v>
      </c>
      <c r="T57" s="88">
        <v>41548</v>
      </c>
    </row>
    <row r="58" spans="1:21" ht="13" hidden="1">
      <c r="A58" s="126" t="str">
        <f>HYPERLINK("https://phillipreeve.net/blog/voigtlander-65-f2-apo-macro-review/","Voigtlander Macro 65mm F2 Apo Lanthar")</f>
        <v>Voigtlander Macro 65mm F2 Apo Lanthar</v>
      </c>
      <c r="B58" s="60">
        <v>635</v>
      </c>
      <c r="C58" s="62">
        <v>65</v>
      </c>
      <c r="D58" s="64">
        <v>2</v>
      </c>
      <c r="E58" s="194">
        <v>78</v>
      </c>
      <c r="F58" s="195">
        <v>91</v>
      </c>
      <c r="G58" s="74" t="s">
        <v>25</v>
      </c>
      <c r="H58" s="72" t="s">
        <v>73</v>
      </c>
      <c r="I58" s="320">
        <v>0.5</v>
      </c>
      <c r="J58" s="76">
        <v>999</v>
      </c>
      <c r="K58" s="79" t="str">
        <f>HYPERLINK("https://amzn.to/2LU48SI","link*")</f>
        <v>link*</v>
      </c>
      <c r="L58" s="79" t="str">
        <f>HYPERLINK("https://www.bhphotovideo.com/c/product/1350400-REG/voigtlander_macro_apo_lanthar_65mm_f2.html/BI/19619/KBID/12129/DFF/d10-v21-t1-x835677/SID/EZ","link*")</f>
        <v>link*</v>
      </c>
      <c r="M58" s="113" t="s">
        <v>51</v>
      </c>
      <c r="N58" s="79"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O58" s="84">
        <v>31</v>
      </c>
      <c r="P58" s="70" t="s">
        <v>27</v>
      </c>
      <c r="Q58" s="74">
        <v>10</v>
      </c>
      <c r="R58" s="112">
        <v>43687</v>
      </c>
      <c r="S58" s="74" t="s">
        <v>29</v>
      </c>
      <c r="T58" s="290">
        <v>42917</v>
      </c>
    </row>
    <row r="59" spans="1:21" ht="13">
      <c r="A59" s="58" t="s">
        <v>167</v>
      </c>
      <c r="B59" s="60">
        <v>562</v>
      </c>
      <c r="C59" s="62">
        <v>70</v>
      </c>
      <c r="D59" s="64">
        <v>2.8</v>
      </c>
      <c r="E59" s="194">
        <v>71</v>
      </c>
      <c r="F59" s="195">
        <v>106</v>
      </c>
      <c r="G59" s="74" t="s">
        <v>36</v>
      </c>
      <c r="H59" s="72" t="s">
        <v>124</v>
      </c>
      <c r="I59" s="263">
        <v>1</v>
      </c>
      <c r="J59" s="241">
        <v>569</v>
      </c>
      <c r="K59" s="79" t="str">
        <f>HYPERLINK("https://amzn.to/2YGO9te","link*")</f>
        <v>link*</v>
      </c>
      <c r="L59" s="79" t="str">
        <f>HYPERLINK("https://www.bhphotovideo.com/c/product/1393483-REG/sigma_70mm_f_2_8_dg_macro.html/BI/19619/KBID/12129/DFF/d10-v21-t1-x895111/SID/EZ","link*")</f>
        <v>link*</v>
      </c>
      <c r="M59" s="113" t="s">
        <v>51</v>
      </c>
      <c r="N59" s="79" t="e">
        <f>HYPERLINK("http://rover.ebay.com/rover/1/711-53200-19255-0/1?icep_ff3=9&amp;pub=5575076376&amp;toolid=10001&amp;campid=5338164340&amp;customid=&amp;icep_uq=sigma+70+2.8+macro+sony&amp;icep_sellerId=&amp;icep_ex_kw=&amp;icep_sortBy=12&amp;icep_catId=3323&amp;icep_minPrice=&amp;icep_maxPrice=&amp;ipn=psmain&amp;icep_ve"&amp;"ctorid=229466&amp;kwid=902099&amp;mtid=824&amp;kw=lg","link*")</f>
        <v>#VALUE!</v>
      </c>
      <c r="O59" s="84">
        <v>26</v>
      </c>
      <c r="P59" s="70" t="s">
        <v>27</v>
      </c>
      <c r="Q59" s="74">
        <v>9</v>
      </c>
      <c r="R59" s="112">
        <v>43751</v>
      </c>
      <c r="S59" s="74" t="s">
        <v>47</v>
      </c>
      <c r="T59" s="88">
        <v>43221</v>
      </c>
      <c r="U59" s="77" t="s">
        <v>48</v>
      </c>
    </row>
    <row r="60" spans="1:21" ht="13">
      <c r="A60" s="58" t="s">
        <v>168</v>
      </c>
      <c r="B60" s="60">
        <v>1480</v>
      </c>
      <c r="C60" s="62">
        <v>70</v>
      </c>
      <c r="D60" s="64">
        <v>2.8</v>
      </c>
      <c r="E60" s="194">
        <v>88</v>
      </c>
      <c r="F60" s="195">
        <v>200</v>
      </c>
      <c r="G60" s="74" t="s">
        <v>36</v>
      </c>
      <c r="H60" s="72" t="s">
        <v>80</v>
      </c>
      <c r="I60" s="239">
        <v>0.25</v>
      </c>
      <c r="J60" s="76">
        <v>2599</v>
      </c>
      <c r="K60" s="79" t="str">
        <f>HYPERLINK("https://amzn.to/2KbaJGn","link*")</f>
        <v>link*</v>
      </c>
      <c r="L60" s="79" t="str">
        <f>HYPERLINK("https://www.bhphotovideo.com/c/product/1222776-REG/sony_sel70200gm_fe_70_200mm_f_2_8_gm.html/BI/19619/KBID/12129/DFF/d10-v21-t1-x746807/SID/EZ","link*")</f>
        <v>link*</v>
      </c>
      <c r="M60" s="113" t="s">
        <v>51</v>
      </c>
      <c r="N60"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60" s="84">
        <v>96</v>
      </c>
      <c r="P60" s="134" t="s">
        <v>66</v>
      </c>
      <c r="Q60" s="74">
        <v>11</v>
      </c>
      <c r="R60" s="115" t="s">
        <v>169</v>
      </c>
      <c r="S60" s="74" t="s">
        <v>41</v>
      </c>
      <c r="T60" s="88">
        <v>42401</v>
      </c>
    </row>
    <row r="61" spans="1:21" ht="13">
      <c r="A61" s="58" t="s">
        <v>170</v>
      </c>
      <c r="B61" s="60">
        <v>854</v>
      </c>
      <c r="C61" s="62">
        <v>70</v>
      </c>
      <c r="D61" s="64" t="s">
        <v>171</v>
      </c>
      <c r="E61" s="194">
        <v>84</v>
      </c>
      <c r="F61" s="195">
        <v>144</v>
      </c>
      <c r="G61" s="74" t="s">
        <v>36</v>
      </c>
      <c r="H61" s="72" t="s">
        <v>64</v>
      </c>
      <c r="I61" s="201">
        <v>0.31</v>
      </c>
      <c r="J61" s="76">
        <v>1198</v>
      </c>
      <c r="K61" s="79" t="str">
        <f>HYPERLINK("https://amzn.to/2SVN1Ao","link*")</f>
        <v>link*</v>
      </c>
      <c r="L61" s="79" t="str">
        <f>HYPERLINK("https://www.bhphotovideo.com/c/product/1242614-REG/sony_sel70300g_fe_70_300mm_f_4_5_5_6_g.html/BI/19619/KBID/12129/DFF/d10-v21-t1-x722726/SID/EZ","link*")</f>
        <v>link*</v>
      </c>
      <c r="M61" s="113" t="s">
        <v>51</v>
      </c>
      <c r="N61"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61" s="84">
        <v>90</v>
      </c>
      <c r="P61" s="134" t="s">
        <v>66</v>
      </c>
      <c r="Q61" s="74">
        <v>9</v>
      </c>
      <c r="R61" s="115" t="s">
        <v>72</v>
      </c>
      <c r="S61" s="74" t="s">
        <v>41</v>
      </c>
      <c r="T61" s="88">
        <v>42430</v>
      </c>
    </row>
    <row r="62" spans="1:21" ht="13">
      <c r="A62" s="126" t="str">
        <f>HYPERLINK("https://phillipreeve.net/blog/review-sony-fe-470-200-g-oss/https://phillipreeve.net/blog/review-sony-fe-470-200-g-oss/","Sony G 4/70-200 OSS")</f>
        <v>Sony G 4/70-200 OSS</v>
      </c>
      <c r="B62" s="60">
        <v>840</v>
      </c>
      <c r="C62" s="62">
        <v>70</v>
      </c>
      <c r="D62" s="64">
        <v>4</v>
      </c>
      <c r="E62" s="194">
        <v>80</v>
      </c>
      <c r="F62" s="195">
        <v>175</v>
      </c>
      <c r="G62" s="74" t="s">
        <v>36</v>
      </c>
      <c r="H62" s="72" t="s">
        <v>64</v>
      </c>
      <c r="I62" s="74">
        <v>0.18</v>
      </c>
      <c r="J62" s="76">
        <v>1498</v>
      </c>
      <c r="K62" s="79" t="str">
        <f>HYPERLINK("http://amzn.to/2fbeX3x","link*")</f>
        <v>link*</v>
      </c>
      <c r="L62" s="79" t="str">
        <f>HYPERLINK("https://www.bhphotovideo.com/c/product/1380865-REG/sony_fe_70_200mm_f_4_g.html/BI/19619/KBID/12129/kw/SO702004F/DFF/d10-v2-t1-xSO702004F","link*")</f>
        <v>link*</v>
      </c>
      <c r="M62" s="79" t="str">
        <f>HYPERLINK("http://amzn.to/2vbFQKj","link*")</f>
        <v>link*</v>
      </c>
      <c r="N62" s="79"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62" s="84">
        <v>100</v>
      </c>
      <c r="P62" s="134" t="s">
        <v>66</v>
      </c>
      <c r="Q62" s="74">
        <v>9</v>
      </c>
      <c r="R62" s="115" t="s">
        <v>173</v>
      </c>
      <c r="S62" s="74" t="s">
        <v>41</v>
      </c>
      <c r="T62" s="88">
        <v>41548</v>
      </c>
    </row>
    <row r="63" spans="1:21" ht="13">
      <c r="A63" s="126" t="str">
        <f>HYPERLINK("https://phillipreeve.net/blog/review-sony-fe-85mm-1-4-gm/","Sony GM 1.4/85")</f>
        <v>Sony GM 1.4/85</v>
      </c>
      <c r="B63" s="60">
        <v>854</v>
      </c>
      <c r="C63" s="62">
        <v>85</v>
      </c>
      <c r="D63" s="64">
        <v>1.4</v>
      </c>
      <c r="E63" s="194">
        <v>84</v>
      </c>
      <c r="F63" s="195">
        <v>108</v>
      </c>
      <c r="G63" s="74" t="s">
        <v>36</v>
      </c>
      <c r="H63" s="72" t="s">
        <v>80</v>
      </c>
      <c r="I63" s="74">
        <v>0.12</v>
      </c>
      <c r="J63" s="76">
        <v>1799</v>
      </c>
      <c r="K63" s="79" t="str">
        <f>HYPERLINK("https://amzn.to/2SZeKAh","link*")</f>
        <v>link*</v>
      </c>
      <c r="L63" s="79" t="str">
        <f>HYPERLINK("https://www.bhphotovideo.com/c/product/1222775-REG/sony_sel85f14gm_fe_85mm_f_1_4_gm.html/BI/19619/KBID/12129/DFF/d10-v21-t1-x707644/SID/EZ","link*")</f>
        <v>link*</v>
      </c>
      <c r="M63" s="113" t="s">
        <v>51</v>
      </c>
      <c r="N63" s="7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63" s="84">
        <v>80</v>
      </c>
      <c r="P63" s="70" t="s">
        <v>27</v>
      </c>
      <c r="Q63" s="74">
        <v>11</v>
      </c>
      <c r="R63" s="112">
        <v>43688</v>
      </c>
      <c r="S63" s="74" t="s">
        <v>41</v>
      </c>
      <c r="T63" s="88">
        <v>42401</v>
      </c>
    </row>
    <row r="64" spans="1:21" ht="13">
      <c r="A64" s="58" t="s">
        <v>174</v>
      </c>
      <c r="B64" s="60">
        <v>1130</v>
      </c>
      <c r="C64" s="62">
        <v>85</v>
      </c>
      <c r="D64" s="64">
        <v>1.4</v>
      </c>
      <c r="E64" s="194">
        <v>95</v>
      </c>
      <c r="F64" s="195">
        <v>152</v>
      </c>
      <c r="G64" s="74" t="s">
        <v>36</v>
      </c>
      <c r="H64" s="269" t="s">
        <v>175</v>
      </c>
      <c r="I64" s="74">
        <v>0.12</v>
      </c>
      <c r="J64" s="76">
        <v>1199</v>
      </c>
      <c r="K64" s="79" t="str">
        <f>HYPERLINK("https://amzn.to/2MBd68k","link*")</f>
        <v>link*</v>
      </c>
      <c r="L64" s="79" t="str">
        <f>HYPERLINK("https://www.bhphotovideo.com/c/product/1393494-REG/sigma_85mm_f_1_4_dg_hsm.html/BI/19619/KBID/12129/kw/SI8514SO/DFF/d10-v2-t1-xSI8514SO","link*")</f>
        <v>link*</v>
      </c>
      <c r="M64" s="79" t="str">
        <f>HYPERLINK("https://amzn.to/2Wto6JH","link*")</f>
        <v>link*</v>
      </c>
      <c r="N64" s="79"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O64" s="84">
        <v>85</v>
      </c>
      <c r="P64" s="70" t="s">
        <v>27</v>
      </c>
      <c r="Q64" s="74">
        <v>9</v>
      </c>
      <c r="R64" s="112">
        <v>43724</v>
      </c>
      <c r="S64" s="74" t="s">
        <v>47</v>
      </c>
      <c r="T64" s="88">
        <v>43221</v>
      </c>
      <c r="U64" s="77" t="s">
        <v>48</v>
      </c>
    </row>
    <row r="65" spans="1:21" ht="13">
      <c r="A65" s="58" t="s">
        <v>176</v>
      </c>
      <c r="B65" s="60">
        <v>568</v>
      </c>
      <c r="C65" s="62">
        <v>85</v>
      </c>
      <c r="D65" s="64">
        <v>1.4</v>
      </c>
      <c r="E65" s="194">
        <v>88</v>
      </c>
      <c r="F65" s="195">
        <v>100</v>
      </c>
      <c r="G65" s="74" t="s">
        <v>36</v>
      </c>
      <c r="H65" s="72" t="s">
        <v>80</v>
      </c>
      <c r="I65" s="74">
        <v>0.11</v>
      </c>
      <c r="J65" s="156">
        <v>699</v>
      </c>
      <c r="K65" s="79" t="str">
        <f>HYPERLINK("https://amzn.to/2T0yJ1A","link*")</f>
        <v>link*</v>
      </c>
      <c r="L65" s="79" t="str">
        <f>HYPERLINK("https://www.bhphotovideo.com/c/product/1470654-REG/samyang_syio85af_e_af_85mm_f_1_4_lens.html/BI/19619/KBID/12129/DFF/d10-v21-t1-x955078/SID/EZ","link*")</f>
        <v>link*</v>
      </c>
      <c r="M65" s="113" t="s">
        <v>51</v>
      </c>
      <c r="N65"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65" s="84">
        <v>90</v>
      </c>
      <c r="P65" s="70" t="s">
        <v>27</v>
      </c>
      <c r="Q65" s="74">
        <v>9</v>
      </c>
      <c r="R65" s="112">
        <v>43688</v>
      </c>
      <c r="S65" s="74" t="s">
        <v>38</v>
      </c>
      <c r="T65" s="88">
        <v>43586</v>
      </c>
    </row>
    <row r="66" spans="1:21" ht="13">
      <c r="A66" s="126" t="str">
        <f>HYPERLINK("https://phillipreeve.net/blog/review-sony-fe-85-mm-1-8/","Sony FE 85mm f/1.8")</f>
        <v>Sony FE 85mm f/1.8</v>
      </c>
      <c r="B66" s="60">
        <v>371</v>
      </c>
      <c r="C66" s="62">
        <v>85</v>
      </c>
      <c r="D66" s="64">
        <v>1.8</v>
      </c>
      <c r="E66" s="194">
        <v>77</v>
      </c>
      <c r="F66" s="195">
        <v>82</v>
      </c>
      <c r="G66" s="74" t="s">
        <v>36</v>
      </c>
      <c r="H66" s="72" t="s">
        <v>73</v>
      </c>
      <c r="I66" s="74">
        <v>0.13</v>
      </c>
      <c r="J66" s="156">
        <v>599</v>
      </c>
      <c r="K66" s="79" t="str">
        <f>HYPERLINK("https://amzn.to/2YB4RxU","link*")</f>
        <v>link*</v>
      </c>
      <c r="L66" s="79" t="str">
        <f t="shared" ref="L66:L67" si="2">HYPERLINK("https://www.bhphotovideo.com/c/product/1140833-REG/zeiss_2103_751_85mm_f_1_8_batis_short.html/BI/19619/KBID/12129/DFF/d10-v21-t1-x627139/SID/EZ","link*")</f>
        <v>link*</v>
      </c>
      <c r="M66" s="113" t="s">
        <v>51</v>
      </c>
      <c r="N66"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66" s="84">
        <v>80</v>
      </c>
      <c r="P66" s="70" t="s">
        <v>27</v>
      </c>
      <c r="Q66" s="74">
        <v>9</v>
      </c>
      <c r="R66" s="112">
        <v>43686</v>
      </c>
      <c r="S66" s="74" t="s">
        <v>41</v>
      </c>
      <c r="T66" s="88">
        <v>42767</v>
      </c>
    </row>
    <row r="67" spans="1:21" ht="13">
      <c r="A67" s="126" t="str">
        <f>HYPERLINK("https://phillipreeve.net/blog/zeiss-batis-sonnar-t-85mm-f1-8-a-review/","Zeiss Batis 1.8/85")</f>
        <v>Zeiss Batis 1.8/85</v>
      </c>
      <c r="B67" s="60">
        <v>475</v>
      </c>
      <c r="C67" s="62">
        <v>85</v>
      </c>
      <c r="D67" s="64">
        <v>1.8</v>
      </c>
      <c r="E67" s="194">
        <v>92</v>
      </c>
      <c r="F67" s="195">
        <v>81</v>
      </c>
      <c r="G67" s="74" t="s">
        <v>36</v>
      </c>
      <c r="H67" s="72" t="s">
        <v>73</v>
      </c>
      <c r="I67" s="74">
        <v>0.13</v>
      </c>
      <c r="J67" s="76">
        <v>1199</v>
      </c>
      <c r="K67" s="79" t="str">
        <f>HYPERLINK("https://amzn.to/2T8oWqt","link*")</f>
        <v>link*</v>
      </c>
      <c r="L67" s="79" t="str">
        <f t="shared" si="2"/>
        <v>link*</v>
      </c>
      <c r="M67" s="113" t="s">
        <v>51</v>
      </c>
      <c r="N67"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67" s="84">
        <v>80</v>
      </c>
      <c r="P67" s="134" t="s">
        <v>66</v>
      </c>
      <c r="Q67" s="74">
        <v>9</v>
      </c>
      <c r="R67" s="112">
        <v>43688</v>
      </c>
      <c r="S67" s="74" t="s">
        <v>87</v>
      </c>
      <c r="T67" s="88">
        <v>42125</v>
      </c>
    </row>
    <row r="68" spans="1:21" ht="13" hidden="1">
      <c r="A68" s="58" t="s">
        <v>197</v>
      </c>
      <c r="B68" s="60">
        <v>665</v>
      </c>
      <c r="C68" s="62">
        <v>85</v>
      </c>
      <c r="D68" s="64">
        <v>1.8</v>
      </c>
      <c r="E68" s="194">
        <v>79</v>
      </c>
      <c r="F68" s="195">
        <v>92</v>
      </c>
      <c r="G68" s="74" t="s">
        <v>25</v>
      </c>
      <c r="H68" s="72" t="s">
        <v>64</v>
      </c>
      <c r="I68" s="74">
        <v>0.13</v>
      </c>
      <c r="J68" s="76">
        <v>299</v>
      </c>
      <c r="K68" s="79" t="str">
        <f>HYPERLINK("https://amzn.to/2LVVOBV","link*")</f>
        <v>link*</v>
      </c>
      <c r="L68" s="79" t="str">
        <f>HYPERLINK("https://www.bhphotovideo.com/c/product/1469189-REG/viltrox_pfu_rbmh_85mm_f1_8_e_mount_85mm_f_1_8_for_sony.html/BI/19619/KBID/12129/DFF/d10-v21-t1-x954301/SID/EZ","link*")</f>
        <v>link*</v>
      </c>
      <c r="M68" s="113" t="s">
        <v>51</v>
      </c>
      <c r="N68" s="79"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O68" s="84">
        <v>80</v>
      </c>
      <c r="P68" s="70" t="s">
        <v>27</v>
      </c>
      <c r="Q68" s="74">
        <v>9</v>
      </c>
      <c r="R68" s="112">
        <v>43656</v>
      </c>
      <c r="S68" s="74" t="s">
        <v>106</v>
      </c>
      <c r="T68" s="292">
        <v>43586</v>
      </c>
      <c r="U68" s="77" t="s">
        <v>200</v>
      </c>
    </row>
    <row r="69" spans="1:21" ht="13">
      <c r="A69" s="58" t="s">
        <v>177</v>
      </c>
      <c r="B69" s="60">
        <v>636</v>
      </c>
      <c r="C69" s="62">
        <v>85</v>
      </c>
      <c r="D69" s="64">
        <v>1.8</v>
      </c>
      <c r="E69" s="194">
        <v>79</v>
      </c>
      <c r="F69" s="195">
        <v>92</v>
      </c>
      <c r="G69" s="74" t="s">
        <v>36</v>
      </c>
      <c r="H69" s="72" t="s">
        <v>64</v>
      </c>
      <c r="I69" s="74">
        <v>0.13</v>
      </c>
      <c r="J69" s="76">
        <v>379</v>
      </c>
      <c r="K69" s="79" t="str">
        <f>HYPERLINK("https://amzn.to/2SZfd5v","link*")</f>
        <v>link*</v>
      </c>
      <c r="L69" s="79" t="str">
        <f>HYPERLINK("https://www.bhphotovideo.com/c/product/1470585-REG/viltrox_pfu_rbmh_85mm_f1_8_stm_e_mount_85mm_f_1_8_lens_for.html/BI/19619/KBID/12129/DFF/d10-v21-t1-x955239/SID/EZ","link*")</f>
        <v>link*</v>
      </c>
      <c r="M69" s="113" t="s">
        <v>51</v>
      </c>
      <c r="N69"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69" s="84">
        <v>80</v>
      </c>
      <c r="P69" s="70" t="s">
        <v>27</v>
      </c>
      <c r="Q69" s="74">
        <v>9</v>
      </c>
      <c r="R69" s="112">
        <v>43656</v>
      </c>
      <c r="S69" s="74" t="s">
        <v>106</v>
      </c>
      <c r="T69" s="88">
        <v>43586</v>
      </c>
    </row>
    <row r="70" spans="1:21" ht="13" hidden="1">
      <c r="A70" s="126" t="str">
        <f>HYPERLINK("https://phillipreeve.net/blog/rolling-review-zeiss-loxia-85mm-2-4/","Zeiss Loxia 2.4/85")</f>
        <v>Zeiss Loxia 2.4/85</v>
      </c>
      <c r="B70" s="60">
        <v>594</v>
      </c>
      <c r="C70" s="62">
        <v>85</v>
      </c>
      <c r="D70" s="64">
        <v>2.4</v>
      </c>
      <c r="E70" s="194">
        <v>63</v>
      </c>
      <c r="F70" s="195">
        <v>95</v>
      </c>
      <c r="G70" s="74" t="s">
        <v>25</v>
      </c>
      <c r="H70" s="72" t="s">
        <v>131</v>
      </c>
      <c r="I70" s="74">
        <v>0.14000000000000001</v>
      </c>
      <c r="J70" s="76">
        <v>1399</v>
      </c>
      <c r="K70" s="79" t="str">
        <f>HYPERLINK("https://amzn.to/2SY4PLd","link*")</f>
        <v>link*</v>
      </c>
      <c r="L70" s="79" t="str">
        <f>HYPERLINK("https://www.bhphotovideo.com/c/product/1282150-REG/zeiss_2162_636_loxia_85mm_f_2_4_lens.html/BI/19619/KBID/12129/DFF/d10-v21-t1-x762761/SID/EZ","link*")</f>
        <v>link*</v>
      </c>
      <c r="M70" s="113" t="s">
        <v>51</v>
      </c>
      <c r="N70" s="79"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O70" s="84">
        <v>80</v>
      </c>
      <c r="P70" s="70" t="s">
        <v>27</v>
      </c>
      <c r="Q70" s="74">
        <v>10</v>
      </c>
      <c r="R70" s="112">
        <v>43653</v>
      </c>
      <c r="S70" s="74" t="s">
        <v>87</v>
      </c>
      <c r="T70" s="88">
        <v>42644</v>
      </c>
    </row>
    <row r="71" spans="1:21" ht="13">
      <c r="A71" s="126" t="str">
        <f>HYPERLINK("https://phillipreeve.net/blog/review-sony-fe-90mm-f2-8-macro-oss-one-of-sonys-finest/","Sony 2.8/90 G OSS")</f>
        <v>Sony 2.8/90 G OSS</v>
      </c>
      <c r="B71" s="60">
        <v>602</v>
      </c>
      <c r="C71" s="62">
        <v>90</v>
      </c>
      <c r="D71" s="64">
        <v>2.8</v>
      </c>
      <c r="E71" s="194">
        <v>79</v>
      </c>
      <c r="F71" s="195">
        <v>131</v>
      </c>
      <c r="G71" s="74" t="s">
        <v>36</v>
      </c>
      <c r="H71" s="72" t="s">
        <v>101</v>
      </c>
      <c r="I71" s="263">
        <v>1</v>
      </c>
      <c r="J71" s="76">
        <v>1099</v>
      </c>
      <c r="K71" s="79" t="str">
        <f>HYPERLINK("http://amzn.to/2fbeX3x","link*")</f>
        <v>link*</v>
      </c>
      <c r="L71" s="79" t="str">
        <f>HYPERLINK("https://www.bhphotovideo.com/c/product/1380868-REG/sony_fe_90mm_f_2_8_macro.html/BI/19619/KBID/12129/kw/SO9028F/DFF/d10-v2-t1-xSO9028F","link*")</f>
        <v>link*</v>
      </c>
      <c r="M71" s="79" t="str">
        <f>HYPERLINK("http://amzn.to/2vvvHcw","link*")</f>
        <v>link*</v>
      </c>
      <c r="N71"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71" s="84">
        <v>28</v>
      </c>
      <c r="P71" s="134" t="s">
        <v>66</v>
      </c>
      <c r="Q71" s="74">
        <v>9</v>
      </c>
      <c r="R71" s="112">
        <v>43784</v>
      </c>
      <c r="S71" s="74" t="s">
        <v>41</v>
      </c>
      <c r="T71" s="88">
        <v>42064</v>
      </c>
    </row>
    <row r="72" spans="1:21" ht="13">
      <c r="A72" s="126" t="str">
        <f>HYPERLINK("https://phillipreeve.net/blog/review-sony-fe-100-f-2-8-stf-gm-oss-lens/","Sony GM 2.8/100 STF OSS")</f>
        <v>Sony GM 2.8/100 STF OSS</v>
      </c>
      <c r="B72" s="60">
        <v>700</v>
      </c>
      <c r="C72" s="62">
        <v>100</v>
      </c>
      <c r="D72" s="64">
        <v>2.8</v>
      </c>
      <c r="E72" s="194">
        <v>85</v>
      </c>
      <c r="F72" s="195">
        <v>118</v>
      </c>
      <c r="G72" s="74" t="s">
        <v>36</v>
      </c>
      <c r="H72" s="72" t="s">
        <v>64</v>
      </c>
      <c r="I72" s="239">
        <v>0.25</v>
      </c>
      <c r="J72" s="76">
        <v>1499</v>
      </c>
      <c r="K72" s="79" t="str">
        <f>HYPERLINK("https://amzn.to/2YD8rn4","link*")</f>
        <v>link*</v>
      </c>
      <c r="L72" s="79" t="str">
        <f>HYPERLINK("https://www.bhphotovideo.com/c/product/1317561-REG/sony_sel100f28gm_fe_100mm_f_2_8_stf.html/BI/19619/KBID/12129/DFF/d10-v21-t1-x795192/SID/EZ","link*")</f>
        <v>link*</v>
      </c>
      <c r="M72" s="113" t="s">
        <v>51</v>
      </c>
      <c r="N72" s="7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72" s="84">
        <v>57</v>
      </c>
      <c r="P72" s="134" t="s">
        <v>66</v>
      </c>
      <c r="Q72" s="74">
        <v>11</v>
      </c>
      <c r="R72" s="112">
        <v>43752</v>
      </c>
      <c r="S72" s="74" t="s">
        <v>41</v>
      </c>
      <c r="T72" s="88">
        <v>42767</v>
      </c>
      <c r="U72" s="77" t="s">
        <v>178</v>
      </c>
    </row>
    <row r="73" spans="1:21" ht="13">
      <c r="A73" s="126" t="str">
        <f>HYPERLINK("https://phillipreeve.net/blog/review-tokina-firin-100mm-f2-8-fe-macro/","Tokina Firin 2.8/100 Macro")</f>
        <v>Tokina Firin 2.8/100 Macro</v>
      </c>
      <c r="B73" s="60">
        <v>570</v>
      </c>
      <c r="C73" s="62">
        <v>100</v>
      </c>
      <c r="D73" s="64">
        <v>2.8</v>
      </c>
      <c r="E73" s="194">
        <v>74</v>
      </c>
      <c r="F73" s="176">
        <v>123</v>
      </c>
      <c r="G73" s="74" t="s">
        <v>36</v>
      </c>
      <c r="H73" s="72" t="s">
        <v>147</v>
      </c>
      <c r="I73" s="263">
        <v>1</v>
      </c>
      <c r="J73" s="184">
        <v>599</v>
      </c>
      <c r="K73" s="79" t="str">
        <f>HYPERLINK("http://amzn.to/2fbeX3x","link*")</f>
        <v>link*</v>
      </c>
      <c r="L73" s="79" t="str">
        <f>HYPERLINK("https://www.bhphotovideo.com/c/product/1473390-REG/tokina_frn_afm100fxse_firin_100mm_f_2_8_fe.html/BI/19619/KBID/12129/kw/TO100AF/DFF/d10-v2-t1-xTO100AF","link*")</f>
        <v>link*</v>
      </c>
      <c r="M73" s="79"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N73"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73" s="84">
        <v>30</v>
      </c>
      <c r="P73" s="70" t="s">
        <v>27</v>
      </c>
      <c r="Q73" s="74">
        <v>9</v>
      </c>
      <c r="R73" s="112">
        <v>43686</v>
      </c>
      <c r="S73" s="74" t="s">
        <v>103</v>
      </c>
      <c r="T73" s="88">
        <v>43617</v>
      </c>
      <c r="U73" s="77" t="s">
        <v>48</v>
      </c>
    </row>
    <row r="74" spans="1:21" ht="13">
      <c r="A74" s="58" t="s">
        <v>179</v>
      </c>
      <c r="B74" s="60">
        <v>1395</v>
      </c>
      <c r="C74" s="62">
        <v>100</v>
      </c>
      <c r="D74" s="64" t="s">
        <v>171</v>
      </c>
      <c r="E74" s="194">
        <v>94</v>
      </c>
      <c r="F74" s="176">
        <v>205</v>
      </c>
      <c r="G74" s="74" t="s">
        <v>36</v>
      </c>
      <c r="H74" s="72" t="s">
        <v>80</v>
      </c>
      <c r="I74" s="239">
        <v>0.35</v>
      </c>
      <c r="J74" s="76">
        <v>2499</v>
      </c>
      <c r="K74" s="79" t="str">
        <f>HYPERLINK("https://amzn.to/2SZ0aZO","link*")</f>
        <v>link*</v>
      </c>
      <c r="L74" s="79" t="str">
        <f>HYPERLINK("https://www.bhphotovideo.com/c/product/1333230-REG/sony_sel100400gm_fe_100_400mm_f_4_5_5_6_gm.html/BI/19619/KBID/12129/DFF/d10-v21-t1-x817745/SID/EZ","link*")</f>
        <v>link*</v>
      </c>
      <c r="M74" s="113" t="s">
        <v>51</v>
      </c>
      <c r="N74" s="79"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74" s="84">
        <v>98</v>
      </c>
      <c r="P74" s="134" t="s">
        <v>66</v>
      </c>
      <c r="Q74" s="74">
        <v>11</v>
      </c>
      <c r="R74" s="115" t="s">
        <v>180</v>
      </c>
      <c r="S74" s="74" t="s">
        <v>41</v>
      </c>
      <c r="T74" s="88">
        <v>42826</v>
      </c>
    </row>
    <row r="75" spans="1:21" ht="15.75" customHeight="1">
      <c r="A75" s="58" t="s">
        <v>181</v>
      </c>
      <c r="B75" s="60">
        <v>1600</v>
      </c>
      <c r="C75" s="62">
        <v>105</v>
      </c>
      <c r="D75" s="64">
        <v>1.4</v>
      </c>
      <c r="E75" s="194">
        <v>116</v>
      </c>
      <c r="F75" s="176">
        <v>132</v>
      </c>
      <c r="G75" s="74" t="s">
        <v>36</v>
      </c>
      <c r="H75" s="278" t="s">
        <v>182</v>
      </c>
      <c r="I75" s="74">
        <v>0.12</v>
      </c>
      <c r="J75" s="76">
        <v>1599</v>
      </c>
      <c r="K75" s="79" t="str">
        <f>HYPERLINK("https://amzn.to/2EWeThZ","link*")</f>
        <v>link*</v>
      </c>
      <c r="L75" s="79" t="str">
        <f>HYPERLINK("https://www.bhphotovideo.com/c/product/1393488-REG/sigma_105mm_f_1_4_dg_hsm.html/BI/19619/KBID/12129/kw/SI10514SO/DFF/d10-v2-t1-xSI10514SO","link*")</f>
        <v>link*</v>
      </c>
      <c r="M75" s="79" t="str">
        <f>HYPERLINK("https://amzn.to/2WpOvTy","link*")</f>
        <v>link*</v>
      </c>
      <c r="N75" s="79" t="e">
        <f>HYPERLINK("http://rover.ebay.com/rover/1/711-53200-19255-0/1?icep_ff3=9&amp;pub=5575076376&amp;toolid=10001&amp;campid=5338164340&amp;customid=&amp;icep_uq=sigma+art+100+1.4+sony&amp;icep_sellerId=&amp;icep_ex_kw=&amp;icep_sortBy=12&amp;icep_catId=3323&amp;icep_minPrice=&amp;icep_maxPrice=&amp;ipn=psmain&amp;icep_vec"&amp;"torid=229466&amp;kwid=902099&amp;mtid=824&amp;kw=lg","link*")</f>
        <v>#VALUE!</v>
      </c>
      <c r="O75" s="84">
        <v>100</v>
      </c>
      <c r="P75" s="70" t="s">
        <v>27</v>
      </c>
      <c r="Q75" s="74">
        <v>9</v>
      </c>
      <c r="R75" s="112">
        <v>43816</v>
      </c>
      <c r="S75" s="74" t="s">
        <v>183</v>
      </c>
      <c r="T75" s="88">
        <v>43221</v>
      </c>
      <c r="U75" s="77" t="s">
        <v>48</v>
      </c>
    </row>
    <row r="76" spans="1:21" ht="13" hidden="1">
      <c r="A76" s="126" t="str">
        <f>HYPERLINK("https://phillipreeve.net/blog/voigtlander-110mm-f2-5-apo-review/","Voigtlander 110mm F2.5 APO Macro")</f>
        <v>Voigtlander 110mm F2.5 APO Macro</v>
      </c>
      <c r="B76" s="60">
        <v>771</v>
      </c>
      <c r="C76" s="62">
        <v>110</v>
      </c>
      <c r="D76" s="64">
        <v>2.5</v>
      </c>
      <c r="E76" s="194">
        <v>78</v>
      </c>
      <c r="F76" s="195">
        <v>100</v>
      </c>
      <c r="G76" s="74" t="s">
        <v>25</v>
      </c>
      <c r="H76" s="72" t="s">
        <v>71</v>
      </c>
      <c r="I76" s="263">
        <v>1</v>
      </c>
      <c r="J76" s="76">
        <v>1099</v>
      </c>
      <c r="K76" s="79" t="str">
        <f>HYPERLINK("https://amzn.to/2SXYsrm","link*")</f>
        <v>link*</v>
      </c>
      <c r="L76" s="79" t="str">
        <f>HYPERLINK("https://www.bhphotovideo.com/c/product/1418780-REG/voigtlander_ba349a_macro_apo_lanthar_110mm_f_2_5.html/BI/19619/KBID/12129/kw/VO11025/DFF/d10-v2-t1-xVO11025","link*")</f>
        <v>link*</v>
      </c>
      <c r="M76" s="113" t="s">
        <v>51</v>
      </c>
      <c r="N76" s="79"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O76" s="84">
        <v>35</v>
      </c>
      <c r="P76" s="70" t="s">
        <v>27</v>
      </c>
      <c r="Q76" s="74">
        <v>10</v>
      </c>
      <c r="R76" s="112">
        <v>43813</v>
      </c>
      <c r="S76" s="74" t="s">
        <v>29</v>
      </c>
      <c r="T76" s="88">
        <v>43405</v>
      </c>
    </row>
    <row r="77" spans="1:21" ht="13">
      <c r="A77" s="126" t="str">
        <f>HYPERLINK("https://phillipreeve.net/blog/review-sony-fe-135mm-f1-8-gm/","Sony 1.8/135 GM")</f>
        <v>Sony 1.8/135 GM</v>
      </c>
      <c r="B77" s="60">
        <v>950</v>
      </c>
      <c r="C77" s="62">
        <v>135</v>
      </c>
      <c r="D77" s="64">
        <v>1.8</v>
      </c>
      <c r="E77" s="194">
        <v>90</v>
      </c>
      <c r="F77" s="195">
        <v>127</v>
      </c>
      <c r="G77" s="74" t="s">
        <v>36</v>
      </c>
      <c r="H77" s="236" t="s">
        <v>68</v>
      </c>
      <c r="I77" s="239">
        <v>0.25</v>
      </c>
      <c r="J77" s="76">
        <v>1899</v>
      </c>
      <c r="K77" s="79" t="str">
        <f>HYPERLINK("https://amzn.to/2WtonMJ","link*")</f>
        <v>link*</v>
      </c>
      <c r="L77" s="79" t="str">
        <f>HYPERLINK("https://www.bhphotovideo.com/c/product/1393495-REG/sigma_135mm_f_1_8_dg_hsm.html/BI/19619/KBID/12129/kw/SI13518SO/DFF/d10-v2-t1-xSI13518SO","link*")</f>
        <v>link*</v>
      </c>
      <c r="M77" s="79" t="str">
        <f>HYPERLINK("https://amzn.to/2Z9KKDE","link*")</f>
        <v>link*</v>
      </c>
      <c r="N77" s="7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77" s="84">
        <v>70</v>
      </c>
      <c r="P77" s="70" t="s">
        <v>27</v>
      </c>
      <c r="Q77" s="74">
        <v>11</v>
      </c>
      <c r="R77" s="112">
        <v>43751</v>
      </c>
      <c r="S77" s="74" t="s">
        <v>41</v>
      </c>
      <c r="T77" s="88">
        <v>43525</v>
      </c>
    </row>
    <row r="78" spans="1:21" ht="13">
      <c r="A78" s="58" t="s">
        <v>185</v>
      </c>
      <c r="B78" s="60">
        <v>1130</v>
      </c>
      <c r="C78" s="62">
        <v>135</v>
      </c>
      <c r="D78" s="64">
        <v>1.8</v>
      </c>
      <c r="E78" s="194">
        <v>91</v>
      </c>
      <c r="F78" s="195">
        <v>115</v>
      </c>
      <c r="G78" s="74" t="s">
        <v>36</v>
      </c>
      <c r="H78" s="236" t="s">
        <v>68</v>
      </c>
      <c r="I78" s="74">
        <v>0.2</v>
      </c>
      <c r="J78" s="184">
        <v>1399</v>
      </c>
      <c r="K78" s="79" t="str">
        <f>HYPERLINK("https://amzn.to/2yxIM4R","link*")</f>
        <v>link*</v>
      </c>
      <c r="L78" s="79" t="str">
        <f>HYPERLINK("https://www.bhphotovideo.com/c/product/1393495-REG/sigma_135mm_f_1_8_dg_hsm.html/BI/19619/KBID/12129/DFF/d10-v21-t1-x881160/SID/EZ","link*")</f>
        <v>link*</v>
      </c>
      <c r="M78" s="113" t="s">
        <v>51</v>
      </c>
      <c r="N78" s="79"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O78" s="84">
        <v>87</v>
      </c>
      <c r="P78" s="70" t="s">
        <v>27</v>
      </c>
      <c r="Q78" s="74">
        <v>9</v>
      </c>
      <c r="R78" s="112">
        <v>43751</v>
      </c>
      <c r="S78" s="74" t="s">
        <v>47</v>
      </c>
      <c r="T78" s="88">
        <v>43221</v>
      </c>
      <c r="U78" s="77" t="s">
        <v>48</v>
      </c>
    </row>
    <row r="79" spans="1:21" ht="13">
      <c r="A79" s="126" t="str">
        <f>HYPERLINK("https://phillipreeve.net/blog/zeiss-batis-apo-sonnar-t-135mm-f2-8/","Zeiss 2.8/135 APO")</f>
        <v>Zeiss 2.8/135 APO</v>
      </c>
      <c r="B79" s="60">
        <v>614</v>
      </c>
      <c r="C79" s="62">
        <v>135</v>
      </c>
      <c r="D79" s="64">
        <v>2.8</v>
      </c>
      <c r="E79" s="194">
        <v>99</v>
      </c>
      <c r="F79" s="195">
        <v>120</v>
      </c>
      <c r="G79" s="74" t="s">
        <v>36</v>
      </c>
      <c r="H79" s="72" t="s">
        <v>73</v>
      </c>
      <c r="I79" s="74">
        <v>0.19</v>
      </c>
      <c r="J79" s="76">
        <v>1699</v>
      </c>
      <c r="K79" s="79" t="str">
        <f>HYPERLINK("https://amzn.to/319GJA4","link*")</f>
        <v>link*</v>
      </c>
      <c r="L79" s="79" t="str">
        <f>HYPERLINK("https://www.bhphotovideo.com/c/product/1330083-REG/zeiss_2136_695_batis_135mm_f_2_8_lens.html/BI/19619/KBID/12129/DFF/d10-v21-t1-x814884/SID/EZ","link*")</f>
        <v>link*</v>
      </c>
      <c r="M79" s="113" t="s">
        <v>51</v>
      </c>
      <c r="N79" s="79"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79" s="84">
        <v>87</v>
      </c>
      <c r="P79" s="134" t="s">
        <v>66</v>
      </c>
      <c r="Q79" s="74">
        <v>9</v>
      </c>
      <c r="R79" s="112">
        <v>43783</v>
      </c>
      <c r="S79" s="74" t="s">
        <v>87</v>
      </c>
      <c r="T79" s="88">
        <v>42826</v>
      </c>
    </row>
    <row r="80" spans="1:21" ht="13">
      <c r="A80" s="58" t="s">
        <v>186</v>
      </c>
      <c r="B80" s="60">
        <v>2215</v>
      </c>
      <c r="C80" s="62">
        <v>200</v>
      </c>
      <c r="D80" s="64" t="s">
        <v>187</v>
      </c>
      <c r="E80" s="194">
        <v>112</v>
      </c>
      <c r="F80" s="195">
        <v>318</v>
      </c>
      <c r="G80" s="74" t="s">
        <v>36</v>
      </c>
      <c r="H80" s="244" t="s">
        <v>152</v>
      </c>
      <c r="I80" s="74">
        <v>0.2</v>
      </c>
      <c r="J80" s="76">
        <v>1999</v>
      </c>
      <c r="K80" s="113"/>
      <c r="L80" s="79" t="str">
        <f>HYPERLINK("https://www.bhphotovideo.com/c/product/1485540-REG/sony_sel200600g_fe_200_600mm_f_5_6_6_3_g.html/BI/19619/KBID/12129/DFF/d10-v21-t1-x968882/SID/EZ","link*")</f>
        <v>link*</v>
      </c>
      <c r="M80" s="113" t="s">
        <v>51</v>
      </c>
      <c r="N80" s="79"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O80" s="84">
        <v>240</v>
      </c>
      <c r="P80" s="134" t="s">
        <v>66</v>
      </c>
      <c r="Q80" s="74">
        <v>11</v>
      </c>
      <c r="R80" s="115" t="s">
        <v>188</v>
      </c>
      <c r="S80" s="74" t="s">
        <v>41</v>
      </c>
      <c r="T80" s="88">
        <v>43647</v>
      </c>
    </row>
    <row r="81" spans="1:20" ht="13">
      <c r="A81" s="58" t="s">
        <v>189</v>
      </c>
      <c r="B81" s="60">
        <v>2895</v>
      </c>
      <c r="C81" s="62">
        <v>400</v>
      </c>
      <c r="D81" s="64">
        <v>2.8</v>
      </c>
      <c r="E81" s="194">
        <v>158</v>
      </c>
      <c r="F81" s="195">
        <v>359</v>
      </c>
      <c r="G81" s="74" t="s">
        <v>36</v>
      </c>
      <c r="H81" s="72" t="s">
        <v>190</v>
      </c>
      <c r="I81" s="74">
        <v>0.16</v>
      </c>
      <c r="J81" s="76">
        <v>11999</v>
      </c>
      <c r="K81" s="113"/>
      <c r="L81" s="79" t="str">
        <f>HYPERLINK("https://www.bhphotovideo.com/c/product/1369634-REG/sony_fe_400mm_f_2_8_gm.html/BI/19619/KBID/12129/DFF/d10-v21-t1-x905722/SID/EZ","link*")</f>
        <v>link*</v>
      </c>
      <c r="M81" s="113" t="s">
        <v>51</v>
      </c>
      <c r="N81" s="79"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O81" s="84">
        <v>270</v>
      </c>
      <c r="P81" s="134" t="s">
        <v>66</v>
      </c>
      <c r="Q81" s="74">
        <v>11</v>
      </c>
      <c r="R81" s="115" t="s">
        <v>191</v>
      </c>
      <c r="S81" s="74" t="s">
        <v>41</v>
      </c>
      <c r="T81" s="88">
        <v>43313</v>
      </c>
    </row>
    <row r="82" spans="1:20" ht="13">
      <c r="A82" s="281" t="s">
        <v>192</v>
      </c>
      <c r="B82" s="282">
        <v>3040</v>
      </c>
      <c r="C82" s="283">
        <v>600</v>
      </c>
      <c r="D82" s="284">
        <v>4</v>
      </c>
      <c r="E82" s="194">
        <v>164</v>
      </c>
      <c r="F82" s="195">
        <v>449</v>
      </c>
      <c r="G82" s="285" t="s">
        <v>36</v>
      </c>
      <c r="H82" s="286" t="s">
        <v>26</v>
      </c>
      <c r="I82" s="285">
        <v>0.14000000000000001</v>
      </c>
      <c r="J82" s="203" t="s">
        <v>193</v>
      </c>
      <c r="K82" s="113"/>
      <c r="L82" s="79" t="str">
        <f>HYPERLINK("https://www.bhphotovideo.com/c/product/1485539-REG/sony_sel600f40gm_fe_600mm_f_4_gm.html/BI/19619/KBID/12129/DFF/d10-v21-t1-x968881/SID/EZ","link*")</f>
        <v>link*</v>
      </c>
      <c r="M82" s="113" t="s">
        <v>51</v>
      </c>
      <c r="N82" s="7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82" s="287">
        <v>451</v>
      </c>
      <c r="P82" s="134" t="s">
        <v>66</v>
      </c>
      <c r="Q82" s="285">
        <v>11</v>
      </c>
      <c r="R82" s="288" t="s">
        <v>195</v>
      </c>
      <c r="S82" s="285" t="s">
        <v>41</v>
      </c>
      <c r="T82" s="289">
        <v>43678</v>
      </c>
    </row>
    <row r="83" spans="1:20" ht="13" hidden="1">
      <c r="A83" s="207"/>
      <c r="B83" s="208"/>
      <c r="C83" s="209"/>
      <c r="D83" s="210"/>
      <c r="E83" s="194"/>
      <c r="F83" s="195"/>
      <c r="G83" s="77"/>
      <c r="H83" s="212"/>
      <c r="I83" s="77"/>
      <c r="J83" s="213"/>
      <c r="K83" s="214"/>
      <c r="L83" s="214"/>
      <c r="M83" s="214"/>
      <c r="N83" s="214"/>
      <c r="O83" s="215"/>
      <c r="P83" s="77"/>
      <c r="Q83" s="77"/>
      <c r="R83" s="77"/>
      <c r="S83" s="77"/>
      <c r="T83" s="290"/>
    </row>
    <row r="84" spans="1:20" ht="13" hidden="1">
      <c r="A84" s="207"/>
      <c r="B84" s="208"/>
      <c r="C84" s="209"/>
      <c r="D84" s="210"/>
      <c r="E84" s="194"/>
      <c r="F84" s="195"/>
      <c r="G84" s="77"/>
      <c r="H84" s="212"/>
      <c r="I84" s="77"/>
      <c r="J84" s="213"/>
      <c r="K84" s="214"/>
      <c r="L84" s="214"/>
      <c r="M84" s="214"/>
      <c r="N84" s="214"/>
      <c r="O84" s="215"/>
      <c r="P84" s="77"/>
      <c r="Q84" s="77"/>
      <c r="R84" s="77"/>
      <c r="S84" s="77"/>
      <c r="T84" s="290"/>
    </row>
    <row r="85" spans="1:20" ht="13" hidden="1">
      <c r="A85" s="207"/>
      <c r="B85" s="208"/>
      <c r="C85" s="209"/>
      <c r="D85" s="210"/>
      <c r="E85" s="194"/>
      <c r="F85" s="195"/>
      <c r="G85" s="77"/>
      <c r="H85" s="212"/>
      <c r="I85" s="77"/>
      <c r="J85" s="213"/>
      <c r="K85" s="214"/>
      <c r="L85" s="214"/>
      <c r="M85" s="214"/>
      <c r="N85" s="214"/>
      <c r="O85" s="215"/>
      <c r="P85" s="77"/>
      <c r="Q85" s="77"/>
      <c r="R85" s="77"/>
      <c r="S85" s="77"/>
      <c r="T85" s="290"/>
    </row>
    <row r="86" spans="1:20" ht="13" hidden="1">
      <c r="A86" s="207"/>
      <c r="B86" s="208"/>
      <c r="C86" s="209"/>
      <c r="D86" s="210"/>
      <c r="E86" s="194"/>
      <c r="F86" s="195"/>
      <c r="G86" s="77"/>
      <c r="H86" s="212"/>
      <c r="I86" s="77"/>
      <c r="J86" s="213"/>
      <c r="K86" s="214"/>
      <c r="L86" s="214"/>
      <c r="M86" s="214"/>
      <c r="N86" s="214"/>
      <c r="O86" s="215"/>
      <c r="P86" s="77"/>
      <c r="Q86" s="77"/>
      <c r="R86" s="77"/>
      <c r="S86" s="77"/>
      <c r="T86" s="290"/>
    </row>
    <row r="87" spans="1:20" ht="13" hidden="1">
      <c r="A87" s="207"/>
      <c r="B87" s="208"/>
      <c r="C87" s="209"/>
      <c r="D87" s="210"/>
      <c r="E87" s="194"/>
      <c r="F87" s="176"/>
      <c r="G87" s="77"/>
      <c r="H87" s="212"/>
      <c r="I87" s="77"/>
      <c r="J87" s="213"/>
      <c r="K87" s="214"/>
      <c r="L87" s="214"/>
      <c r="M87" s="214"/>
      <c r="N87" s="214"/>
      <c r="O87" s="215"/>
      <c r="P87" s="77"/>
      <c r="Q87" s="77"/>
      <c r="R87" s="77"/>
      <c r="S87" s="77"/>
      <c r="T87" s="290"/>
    </row>
    <row r="88" spans="1:20" ht="13" hidden="1">
      <c r="A88" s="207"/>
      <c r="B88" s="208"/>
      <c r="C88" s="209"/>
      <c r="D88" s="210"/>
      <c r="E88" s="194"/>
      <c r="F88" s="195"/>
      <c r="G88" s="77"/>
      <c r="H88" s="212"/>
      <c r="I88" s="77"/>
      <c r="J88" s="213"/>
      <c r="K88" s="214"/>
      <c r="L88" s="214"/>
      <c r="M88" s="214"/>
      <c r="N88" s="214"/>
      <c r="O88" s="215"/>
      <c r="P88" s="77"/>
      <c r="Q88" s="77"/>
      <c r="R88" s="77"/>
      <c r="S88" s="77"/>
      <c r="T88" s="290"/>
    </row>
    <row r="89" spans="1:20" ht="13" hidden="1">
      <c r="A89" s="207"/>
      <c r="B89" s="208"/>
      <c r="C89" s="209"/>
      <c r="D89" s="210"/>
      <c r="E89" s="194"/>
      <c r="F89" s="195"/>
      <c r="G89" s="77"/>
      <c r="H89" s="212"/>
      <c r="I89" s="77"/>
      <c r="J89" s="213"/>
      <c r="K89" s="214"/>
      <c r="L89" s="214"/>
      <c r="M89" s="214"/>
      <c r="N89" s="214"/>
      <c r="O89" s="215"/>
      <c r="P89" s="77"/>
      <c r="Q89" s="77"/>
      <c r="R89" s="77"/>
      <c r="S89" s="77"/>
      <c r="T89" s="290"/>
    </row>
    <row r="90" spans="1:20" ht="13" hidden="1">
      <c r="A90" s="207"/>
      <c r="B90" s="208"/>
      <c r="C90" s="209"/>
      <c r="D90" s="210"/>
      <c r="E90" s="194"/>
      <c r="F90" s="195"/>
      <c r="G90" s="77"/>
      <c r="H90" s="212"/>
      <c r="I90" s="77"/>
      <c r="J90" s="213"/>
      <c r="K90" s="214"/>
      <c r="L90" s="214"/>
      <c r="M90" s="214"/>
      <c r="N90" s="214"/>
      <c r="O90" s="215"/>
      <c r="P90" s="77"/>
      <c r="Q90" s="77"/>
      <c r="R90" s="77"/>
      <c r="S90" s="77"/>
      <c r="T90" s="290"/>
    </row>
    <row r="91" spans="1:20" ht="13" hidden="1">
      <c r="A91" s="207"/>
      <c r="B91" s="208"/>
      <c r="C91" s="209"/>
      <c r="D91" s="210"/>
      <c r="E91" s="194"/>
      <c r="F91" s="195"/>
      <c r="G91" s="77"/>
      <c r="H91" s="212"/>
      <c r="I91" s="77"/>
      <c r="J91" s="213"/>
      <c r="K91" s="214"/>
      <c r="L91" s="214"/>
      <c r="M91" s="214"/>
      <c r="N91" s="214"/>
      <c r="O91" s="215"/>
      <c r="P91" s="77"/>
      <c r="Q91" s="77"/>
      <c r="R91" s="77"/>
      <c r="S91" s="77"/>
      <c r="T91" s="290"/>
    </row>
    <row r="92" spans="1:20" ht="13" hidden="1">
      <c r="A92" s="207"/>
      <c r="B92" s="208"/>
      <c r="C92" s="209"/>
      <c r="D92" s="210"/>
      <c r="E92" s="194"/>
      <c r="F92" s="195"/>
      <c r="G92" s="77"/>
      <c r="H92" s="212"/>
      <c r="I92" s="77"/>
      <c r="J92" s="213"/>
      <c r="K92" s="214"/>
      <c r="L92" s="214"/>
      <c r="M92" s="214"/>
      <c r="N92" s="214"/>
      <c r="O92" s="215"/>
      <c r="P92" s="77"/>
      <c r="Q92" s="77"/>
      <c r="R92" s="77"/>
      <c r="S92" s="77"/>
      <c r="T92" s="290"/>
    </row>
    <row r="93" spans="1:20" ht="13" hidden="1">
      <c r="A93" s="207"/>
      <c r="B93" s="208"/>
      <c r="C93" s="209"/>
      <c r="D93" s="210"/>
      <c r="E93" s="194"/>
      <c r="F93" s="176"/>
      <c r="G93" s="77"/>
      <c r="H93" s="212"/>
      <c r="I93" s="77"/>
      <c r="J93" s="213"/>
      <c r="K93" s="214"/>
      <c r="L93" s="214"/>
      <c r="M93" s="214"/>
      <c r="N93" s="214"/>
      <c r="O93" s="215"/>
      <c r="P93" s="77"/>
      <c r="Q93" s="77"/>
      <c r="R93" s="77"/>
      <c r="S93" s="77"/>
      <c r="T93" s="290"/>
    </row>
    <row r="94" spans="1:20" ht="13" hidden="1">
      <c r="A94" s="207"/>
      <c r="B94" s="208"/>
      <c r="C94" s="209"/>
      <c r="D94" s="210"/>
      <c r="E94" s="194"/>
      <c r="F94" s="195"/>
      <c r="G94" s="77"/>
      <c r="H94" s="212"/>
      <c r="I94" s="77"/>
      <c r="J94" s="213"/>
      <c r="K94" s="214"/>
      <c r="L94" s="214"/>
      <c r="M94" s="214"/>
      <c r="N94" s="214"/>
      <c r="O94" s="215"/>
      <c r="P94" s="77"/>
      <c r="Q94" s="77"/>
      <c r="R94" s="77"/>
      <c r="S94" s="77"/>
      <c r="T94" s="290"/>
    </row>
    <row r="95" spans="1:20" ht="13" hidden="1">
      <c r="A95" s="207"/>
      <c r="B95" s="208"/>
      <c r="C95" s="209"/>
      <c r="D95" s="210"/>
      <c r="E95" s="217"/>
      <c r="F95" s="291"/>
      <c r="G95" s="77"/>
      <c r="H95" s="212"/>
      <c r="I95" s="77"/>
      <c r="J95" s="213"/>
      <c r="K95" s="214"/>
      <c r="L95" s="214"/>
      <c r="M95" s="214"/>
      <c r="N95" s="214"/>
      <c r="O95" s="215"/>
      <c r="P95" s="77"/>
      <c r="Q95" s="77"/>
      <c r="R95" s="77"/>
      <c r="S95" s="77"/>
      <c r="T95" s="290"/>
    </row>
    <row r="96" spans="1:20" ht="13" hidden="1">
      <c r="A96" s="207"/>
      <c r="B96" s="208"/>
      <c r="C96" s="209"/>
      <c r="D96" s="210"/>
      <c r="E96" s="219"/>
      <c r="F96" s="219"/>
      <c r="G96" s="77"/>
      <c r="H96" s="212"/>
      <c r="I96" s="77"/>
      <c r="J96" s="213"/>
      <c r="K96" s="214"/>
      <c r="L96" s="214"/>
      <c r="M96" s="214"/>
      <c r="N96" s="214"/>
      <c r="O96" s="215"/>
      <c r="P96" s="77"/>
      <c r="Q96" s="77"/>
      <c r="R96" s="77"/>
      <c r="S96" s="77"/>
      <c r="T96" s="290"/>
    </row>
    <row r="97" spans="1:20" ht="13" hidden="1">
      <c r="A97" s="207"/>
      <c r="B97" s="208"/>
      <c r="C97" s="209"/>
      <c r="D97" s="210"/>
      <c r="E97" s="219"/>
      <c r="F97" s="219"/>
      <c r="G97" s="77"/>
      <c r="H97" s="212"/>
      <c r="I97" s="77"/>
      <c r="J97" s="213"/>
      <c r="K97" s="214"/>
      <c r="L97" s="214"/>
      <c r="M97" s="214"/>
      <c r="N97" s="214"/>
      <c r="O97" s="215"/>
      <c r="P97" s="77"/>
      <c r="Q97" s="77"/>
      <c r="R97" s="77"/>
      <c r="S97" s="77"/>
      <c r="T97" s="290"/>
    </row>
    <row r="98" spans="1:20" ht="13" hidden="1">
      <c r="A98" s="207"/>
      <c r="B98" s="208"/>
      <c r="C98" s="209"/>
      <c r="D98" s="210"/>
      <c r="E98" s="219"/>
      <c r="F98" s="219"/>
      <c r="G98" s="77"/>
      <c r="H98" s="212"/>
      <c r="I98" s="77"/>
      <c r="J98" s="213"/>
      <c r="K98" s="214"/>
      <c r="L98" s="214"/>
      <c r="M98" s="214"/>
      <c r="N98" s="214"/>
      <c r="O98" s="215"/>
      <c r="P98" s="77"/>
      <c r="Q98" s="77"/>
      <c r="R98" s="77"/>
      <c r="S98" s="77"/>
      <c r="T98" s="290"/>
    </row>
    <row r="99" spans="1:20" ht="13" hidden="1">
      <c r="A99" s="207"/>
      <c r="B99" s="208"/>
      <c r="C99" s="209"/>
      <c r="D99" s="210"/>
      <c r="E99" s="219"/>
      <c r="F99" s="219"/>
      <c r="G99" s="77"/>
      <c r="H99" s="212"/>
      <c r="I99" s="77"/>
      <c r="J99" s="213"/>
      <c r="K99" s="214"/>
      <c r="L99" s="214"/>
      <c r="M99" s="214"/>
      <c r="N99" s="214"/>
      <c r="O99" s="215"/>
      <c r="P99" s="77"/>
      <c r="Q99" s="77"/>
      <c r="R99" s="77"/>
      <c r="S99" s="77"/>
      <c r="T99" s="290"/>
    </row>
    <row r="100" spans="1:20" ht="13" hidden="1">
      <c r="A100" s="207"/>
      <c r="B100" s="208"/>
      <c r="C100" s="209"/>
      <c r="D100" s="210"/>
      <c r="E100" s="219"/>
      <c r="F100" s="219"/>
      <c r="G100" s="77"/>
      <c r="H100" s="212"/>
      <c r="I100" s="77"/>
      <c r="J100" s="213"/>
      <c r="K100" s="214"/>
      <c r="L100" s="214"/>
      <c r="M100" s="214"/>
      <c r="N100" s="214"/>
      <c r="O100" s="215"/>
      <c r="P100" s="77"/>
      <c r="Q100" s="77"/>
      <c r="R100" s="77"/>
      <c r="S100" s="77"/>
      <c r="T100" s="290"/>
    </row>
    <row r="101" spans="1:20" ht="13" hidden="1">
      <c r="A101" s="207"/>
      <c r="B101" s="208"/>
      <c r="C101" s="209"/>
      <c r="D101" s="210"/>
      <c r="E101" s="219"/>
      <c r="F101" s="219"/>
      <c r="G101" s="77"/>
      <c r="H101" s="212"/>
      <c r="I101" s="77"/>
      <c r="J101" s="213"/>
      <c r="K101" s="214"/>
      <c r="L101" s="214"/>
      <c r="M101" s="214"/>
      <c r="N101" s="214"/>
      <c r="O101" s="215"/>
      <c r="P101" s="77"/>
      <c r="Q101" s="77"/>
      <c r="R101" s="77"/>
      <c r="S101" s="77"/>
      <c r="T101" s="290"/>
    </row>
    <row r="102" spans="1:20" ht="13" hidden="1">
      <c r="A102" s="207"/>
      <c r="B102" s="208"/>
      <c r="C102" s="209"/>
      <c r="D102" s="210"/>
      <c r="E102" s="219"/>
      <c r="F102" s="219"/>
      <c r="G102" s="77"/>
      <c r="H102" s="212"/>
      <c r="I102" s="77"/>
      <c r="J102" s="213"/>
      <c r="K102" s="214"/>
      <c r="L102" s="214"/>
      <c r="M102" s="214"/>
      <c r="N102" s="214"/>
      <c r="O102" s="215"/>
      <c r="P102" s="77"/>
      <c r="Q102" s="77"/>
      <c r="R102" s="77"/>
      <c r="S102" s="77"/>
      <c r="T102" s="290"/>
    </row>
    <row r="103" spans="1:20" ht="15" hidden="1">
      <c r="A103" s="223" t="s">
        <v>136</v>
      </c>
      <c r="B103" s="224">
        <f>COUNT(B2:B101)</f>
        <v>80</v>
      </c>
      <c r="C103" s="77" t="s">
        <v>198</v>
      </c>
      <c r="D103" s="77"/>
      <c r="E103" s="219"/>
      <c r="F103" s="220"/>
      <c r="G103" s="77"/>
      <c r="H103" s="212"/>
      <c r="I103" s="77"/>
      <c r="J103" s="77"/>
      <c r="K103" s="214"/>
      <c r="L103" s="214"/>
      <c r="M103" s="214"/>
      <c r="N103" s="214"/>
      <c r="O103" s="77"/>
      <c r="P103" s="77"/>
      <c r="Q103" s="77"/>
      <c r="R103" s="77"/>
      <c r="S103" s="77"/>
      <c r="T103" s="77"/>
    </row>
    <row r="104" spans="1:20" ht="13" hidden="1">
      <c r="A104" s="225" t="s">
        <v>199</v>
      </c>
      <c r="E104" s="219"/>
      <c r="F104" s="220"/>
      <c r="H104" s="226"/>
      <c r="K104" s="214"/>
      <c r="L104" s="214"/>
      <c r="M104" s="214"/>
      <c r="N104" s="214"/>
    </row>
    <row r="105" spans="1:20" ht="13" hidden="1">
      <c r="A105" s="207"/>
      <c r="B105" s="77"/>
      <c r="C105" s="77"/>
      <c r="D105" s="77"/>
      <c r="E105" s="219"/>
      <c r="F105" s="220"/>
      <c r="G105" s="77"/>
      <c r="H105" s="212"/>
      <c r="I105" s="77"/>
      <c r="J105" s="77"/>
      <c r="K105" s="214"/>
      <c r="L105" s="214"/>
      <c r="M105" s="214"/>
      <c r="N105" s="214"/>
      <c r="O105" s="77"/>
      <c r="P105" s="77"/>
      <c r="Q105" s="77"/>
      <c r="R105" s="77"/>
      <c r="S105" s="77"/>
      <c r="T105" s="77"/>
    </row>
    <row r="106" spans="1:20" ht="13" hidden="1">
      <c r="A106" s="227" t="str">
        <f>HYPERLINK("https://phillipreeve.net/blog/sony-fe-lenses/fe-list/","If you have a question or want to report any mistake please leave a comment on the blog.")</f>
        <v>If you have a question or want to report any mistake please leave a comment on the blog.</v>
      </c>
      <c r="B106" s="228"/>
      <c r="C106" s="228"/>
      <c r="D106" s="228"/>
      <c r="E106" s="229"/>
      <c r="F106" s="230"/>
      <c r="G106" s="228"/>
      <c r="H106" s="231"/>
      <c r="I106" s="228"/>
      <c r="J106" s="228"/>
      <c r="K106" s="214"/>
      <c r="L106" s="214"/>
      <c r="M106" s="214"/>
      <c r="N106" s="214"/>
    </row>
    <row r="107" spans="1:20" ht="13" hidden="1">
      <c r="E107" s="219"/>
      <c r="F107" s="220"/>
      <c r="H107" s="226"/>
      <c r="K107" s="214"/>
      <c r="L107" s="214"/>
      <c r="M107" s="214"/>
      <c r="N107" s="214"/>
    </row>
    <row r="108" spans="1:20" ht="13" hidden="1">
      <c r="A108" s="207" t="s">
        <v>139</v>
      </c>
      <c r="E108" s="219"/>
      <c r="F108" s="220"/>
      <c r="H108" s="226"/>
      <c r="K108" s="214"/>
      <c r="L108" s="214"/>
      <c r="M108" s="214"/>
      <c r="N108" s="214"/>
    </row>
    <row r="109" spans="1:20" ht="13" hidden="1">
      <c r="A109" s="170" t="str">
        <f>HYPERLINK("https://phillipreeve.net/blog/fe-lenses-sony-comprehensive-independent-guide/","Our Guide to FE-mount lenses - If you need any help on finding the right lens.")</f>
        <v>Our Guide to FE-mount lenses - If you need any help on finding the right lens.</v>
      </c>
      <c r="E109" s="219"/>
      <c r="F109" s="220"/>
      <c r="H109" s="226"/>
      <c r="K109" s="214"/>
      <c r="L109" s="214"/>
      <c r="M109" s="214"/>
      <c r="N109" s="214"/>
    </row>
    <row r="110" spans="1:20" ht="13" hidden="1">
      <c r="A110" s="170" t="str">
        <f>HYPERLINK("https://phillipreeve.net/blog/9-golden-rules-to-buy-the-wrong-lens/","10 golden rules to buy the wrong lens.")</f>
        <v>10 golden rules to buy the wrong lens.</v>
      </c>
      <c r="E110" s="219"/>
      <c r="F110" s="220"/>
      <c r="H110" s="226"/>
      <c r="K110" s="214"/>
      <c r="L110" s="214"/>
      <c r="M110" s="214"/>
      <c r="N110" s="214"/>
    </row>
    <row r="111" spans="1:20" ht="13" hidden="1">
      <c r="A111" s="170" t="str">
        <f>HYPERLINK("https://phillipreeve.net/blog/user-guide-ultra-wideangle-lenses-sony-alpha-7-series/","Our Guide to Ultra-Wideangle lenses")</f>
        <v>Our Guide to Ultra-Wideangle lenses</v>
      </c>
      <c r="E111" s="219"/>
      <c r="F111" s="220"/>
      <c r="H111" s="226"/>
      <c r="K111" s="214"/>
      <c r="L111" s="214"/>
      <c r="M111" s="214"/>
      <c r="N111" s="214"/>
    </row>
    <row r="112" spans="1:20" ht="13" hidden="1">
      <c r="A112" s="170" t="str">
        <f>HYPERLINK("https://phillipreeve.net/blog/wideangle-lenses-for-the-sony-alpha-7-series/","Our Guide to Wideangle lenses")</f>
        <v>Our Guide to Wideangle lenses</v>
      </c>
      <c r="E112" s="219"/>
      <c r="F112" s="220"/>
      <c r="H112" s="226"/>
      <c r="K112" s="214"/>
      <c r="L112" s="214"/>
      <c r="M112" s="214"/>
      <c r="N112" s="214"/>
    </row>
    <row r="113" spans="1:14" ht="13" hidden="1">
      <c r="A113" s="170" t="str">
        <f>HYPERLINK("https://phillipreeve.net/blog/guide-to-macro-lenses-for-the-sony-a7-series/","Our Guide to Macro lenses")</f>
        <v>Our Guide to Macro lenses</v>
      </c>
      <c r="E113" s="219"/>
      <c r="F113" s="220"/>
      <c r="H113" s="226"/>
      <c r="K113" s="214"/>
      <c r="L113" s="214"/>
      <c r="M113" s="214"/>
      <c r="N113" s="214"/>
    </row>
    <row r="114" spans="1:14" ht="13" hidden="1">
      <c r="A114" s="170" t="str">
        <f>HYPERLINK("https://phillipreeve.net/blog/user-guide-to-portrait-lenses-sony-a7-series/","Our Guide to Portrait lenses")</f>
        <v>Our Guide to Portrait lenses</v>
      </c>
      <c r="E114" s="219"/>
      <c r="F114" s="220"/>
      <c r="H114" s="226"/>
      <c r="K114" s="214"/>
      <c r="L114" s="214"/>
      <c r="M114" s="214"/>
      <c r="N114" s="214"/>
    </row>
    <row r="115" spans="1:14" ht="13" hidden="1">
      <c r="A115" s="170" t="str">
        <f>HYPERLINK("https://phillipreeve.net/blog/building-a-lens-kit/","Building a lens kit")</f>
        <v>Building a lens kit</v>
      </c>
      <c r="E115" s="219"/>
      <c r="F115" s="220"/>
      <c r="H115" s="226"/>
      <c r="K115" s="214"/>
      <c r="L115" s="214"/>
      <c r="M115" s="214"/>
      <c r="N115" s="214"/>
    </row>
    <row r="116" spans="1:14" ht="13" hidden="1">
      <c r="A116" s="77"/>
      <c r="H116" s="226"/>
      <c r="K116" s="214"/>
      <c r="L116" s="214"/>
      <c r="M116" s="214"/>
      <c r="N116" s="214"/>
    </row>
    <row r="117" spans="1:14" ht="13" hidden="1">
      <c r="A117" s="207" t="s">
        <v>201</v>
      </c>
      <c r="H117" s="226"/>
      <c r="K117" s="214"/>
      <c r="L117" s="214"/>
      <c r="M117" s="214"/>
      <c r="N117" s="214"/>
    </row>
    <row r="118" spans="1:14" ht="13" hidden="1">
      <c r="A118" s="77" t="s">
        <v>202</v>
      </c>
      <c r="H118" s="226"/>
      <c r="K118" s="214"/>
      <c r="L118" s="214"/>
      <c r="M118" s="214"/>
      <c r="N118" s="214"/>
    </row>
    <row r="119" spans="1:14" ht="13" hidden="1">
      <c r="A119" s="77" t="s">
        <v>203</v>
      </c>
      <c r="H119" s="226"/>
      <c r="K119" s="214"/>
      <c r="L119" s="214"/>
      <c r="M119" s="214"/>
      <c r="N119" s="214"/>
    </row>
    <row r="120" spans="1:14" ht="13" hidden="1">
      <c r="A120" s="77" t="s">
        <v>204</v>
      </c>
      <c r="H120" s="226"/>
      <c r="K120" s="214"/>
      <c r="L120" s="214"/>
      <c r="M120" s="214"/>
      <c r="N120" s="214"/>
    </row>
    <row r="121" spans="1:14" ht="13" hidden="1">
      <c r="A121" s="77" t="s">
        <v>205</v>
      </c>
      <c r="H121" s="226"/>
      <c r="K121" s="214"/>
      <c r="L121" s="214"/>
      <c r="M121" s="214"/>
      <c r="N121" s="214"/>
    </row>
    <row r="122" spans="1:14" ht="13" hidden="1">
      <c r="A122" s="233"/>
      <c r="H122" s="226"/>
      <c r="K122" s="214"/>
      <c r="L122" s="214"/>
      <c r="M122" s="214"/>
      <c r="N122" s="214"/>
    </row>
    <row r="123" spans="1:14" ht="13" hidden="1">
      <c r="A123" s="207" t="s">
        <v>142</v>
      </c>
      <c r="H123" s="226"/>
      <c r="K123" s="214"/>
      <c r="L123" s="214"/>
      <c r="M123" s="214"/>
      <c r="N123" s="214"/>
    </row>
    <row r="124" spans="1:14" ht="13" hidden="1">
      <c r="A124" s="77" t="s">
        <v>206</v>
      </c>
      <c r="D124" s="233"/>
      <c r="H124" s="226"/>
      <c r="K124" s="214"/>
      <c r="L124" s="214"/>
      <c r="M124" s="214"/>
      <c r="N124" s="214"/>
    </row>
    <row r="125" spans="1:14" ht="13" hidden="1">
      <c r="A125" s="77" t="s">
        <v>144</v>
      </c>
      <c r="D125" s="233"/>
      <c r="H125" s="226"/>
      <c r="K125" s="214"/>
      <c r="L125" s="214"/>
      <c r="M125" s="214"/>
      <c r="N125" s="214"/>
    </row>
    <row r="126" spans="1:14" ht="13" hidden="1">
      <c r="H126" s="226"/>
      <c r="K126" s="214"/>
      <c r="L126" s="214"/>
      <c r="M126" s="214"/>
      <c r="N126" s="214"/>
    </row>
    <row r="127" spans="1:14" ht="13" hidden="1">
      <c r="A127" s="170" t="str">
        <f>HYPERLINK("https://phillipreeve.net/blog/impressum/","Impressum")</f>
        <v>Impressum</v>
      </c>
      <c r="H127" s="226"/>
      <c r="K127" s="214"/>
      <c r="L127" s="214"/>
      <c r="M127" s="214"/>
      <c r="N127" s="214"/>
    </row>
    <row r="128" spans="1:14" ht="13" hidden="1">
      <c r="H128" s="226"/>
      <c r="K128" s="214"/>
      <c r="L128" s="214"/>
      <c r="M128" s="214"/>
      <c r="N128" s="214"/>
    </row>
    <row r="129" spans="1:14" ht="13" hidden="1">
      <c r="H129" s="226"/>
      <c r="K129" s="214"/>
      <c r="L129" s="214"/>
      <c r="M129" s="214"/>
      <c r="N129" s="214"/>
    </row>
    <row r="130" spans="1:14" ht="13" hidden="1">
      <c r="H130" s="226"/>
      <c r="K130" s="214"/>
      <c r="L130" s="214"/>
      <c r="M130" s="214"/>
      <c r="N130" s="214"/>
    </row>
    <row r="131" spans="1:14" ht="13" hidden="1">
      <c r="H131" s="226"/>
      <c r="K131" s="214"/>
      <c r="L131" s="214"/>
      <c r="M131" s="214"/>
      <c r="N131" s="214"/>
    </row>
    <row r="132" spans="1:14" ht="13" hidden="1">
      <c r="H132" s="226"/>
      <c r="K132" s="214"/>
      <c r="L132" s="214"/>
      <c r="M132" s="214"/>
      <c r="N132" s="214"/>
    </row>
    <row r="133" spans="1:14" ht="13" hidden="1">
      <c r="A133" s="207"/>
      <c r="H133" s="226"/>
      <c r="K133" s="214"/>
      <c r="L133" s="214"/>
      <c r="M133" s="214"/>
      <c r="N133" s="214"/>
    </row>
    <row r="134" spans="1:14" ht="13" hidden="1">
      <c r="A134" s="207"/>
      <c r="H134" s="226"/>
      <c r="K134" s="214"/>
      <c r="L134" s="214"/>
      <c r="M134" s="214"/>
      <c r="N134" s="214"/>
    </row>
    <row r="135" spans="1:14" ht="13" hidden="1">
      <c r="A135" s="207"/>
      <c r="H135" s="226"/>
      <c r="K135" s="214"/>
      <c r="L135" s="214"/>
      <c r="M135" s="214"/>
      <c r="N135" s="214"/>
    </row>
    <row r="136" spans="1:14" ht="13" hidden="1">
      <c r="A136" s="207"/>
      <c r="H136" s="226"/>
      <c r="K136" s="214"/>
      <c r="L136" s="214"/>
      <c r="M136" s="214"/>
      <c r="N136" s="214"/>
    </row>
    <row r="137" spans="1:14" ht="13" hidden="1">
      <c r="A137" s="207"/>
      <c r="H137" s="226"/>
      <c r="K137" s="214"/>
      <c r="L137" s="214"/>
      <c r="M137" s="214"/>
      <c r="N137" s="214"/>
    </row>
    <row r="138" spans="1:14" ht="13" hidden="1">
      <c r="A138" s="207"/>
      <c r="H138" s="226"/>
      <c r="K138" s="214"/>
      <c r="L138" s="214"/>
      <c r="M138" s="214"/>
      <c r="N138" s="214"/>
    </row>
    <row r="139" spans="1:14" ht="13" hidden="1">
      <c r="A139" s="233"/>
      <c r="H139" s="226"/>
      <c r="K139" s="214"/>
      <c r="L139" s="214"/>
      <c r="M139" s="214"/>
      <c r="N139" s="214"/>
    </row>
    <row r="140" spans="1:14" ht="13" hidden="1">
      <c r="A140" s="207"/>
      <c r="H140" s="226"/>
      <c r="K140" s="214"/>
      <c r="L140" s="214"/>
      <c r="M140" s="214"/>
      <c r="N140" s="214"/>
    </row>
    <row r="141" spans="1:14" ht="13" hidden="1">
      <c r="A141" s="207"/>
      <c r="H141" s="226"/>
      <c r="K141" s="214"/>
      <c r="L141" s="214"/>
      <c r="M141" s="214"/>
      <c r="N141" s="214"/>
    </row>
    <row r="142" spans="1:14" ht="13" hidden="1">
      <c r="A142" s="233"/>
      <c r="H142" s="226"/>
      <c r="K142" s="214"/>
      <c r="L142" s="214"/>
      <c r="M142" s="214"/>
      <c r="N142" s="214"/>
    </row>
    <row r="143" spans="1:14" ht="13" hidden="1">
      <c r="A143" s="207"/>
      <c r="H143" s="226"/>
      <c r="K143" s="214"/>
      <c r="L143" s="214"/>
      <c r="M143" s="214"/>
      <c r="N143" s="214"/>
    </row>
    <row r="144" spans="1:14" ht="13" hidden="1">
      <c r="A144" s="207"/>
      <c r="H144" s="226"/>
      <c r="K144" s="214"/>
      <c r="L144" s="214"/>
      <c r="M144" s="214"/>
      <c r="N144" s="214"/>
    </row>
    <row r="145" spans="1:14" ht="13" hidden="1">
      <c r="A145" s="207"/>
      <c r="H145" s="226"/>
      <c r="K145" s="214"/>
      <c r="L145" s="214"/>
      <c r="M145" s="214"/>
      <c r="N145" s="214"/>
    </row>
    <row r="146" spans="1:14" ht="13" hidden="1">
      <c r="A146" s="207"/>
      <c r="H146" s="226"/>
      <c r="K146" s="214"/>
      <c r="L146" s="214"/>
      <c r="M146" s="214"/>
      <c r="N146" s="214"/>
    </row>
    <row r="147" spans="1:14" ht="13" hidden="1">
      <c r="A147" s="207"/>
      <c r="H147" s="226"/>
      <c r="K147" s="214"/>
      <c r="L147" s="214"/>
      <c r="M147" s="214"/>
      <c r="N147" s="214"/>
    </row>
    <row r="148" spans="1:14" ht="13" hidden="1">
      <c r="A148" s="207"/>
      <c r="H148" s="226"/>
      <c r="K148" s="214"/>
      <c r="L148" s="214"/>
      <c r="M148" s="214"/>
      <c r="N148" s="214"/>
    </row>
    <row r="149" spans="1:14" ht="13" hidden="1">
      <c r="A149" s="207"/>
      <c r="H149" s="226"/>
      <c r="K149" s="214"/>
      <c r="L149" s="214"/>
      <c r="M149" s="214"/>
      <c r="N149" s="214"/>
    </row>
    <row r="150" spans="1:14" ht="13" hidden="1">
      <c r="A150" s="207"/>
      <c r="H150" s="226"/>
      <c r="K150" s="214"/>
      <c r="L150" s="214"/>
      <c r="M150" s="214"/>
      <c r="N150" s="214"/>
    </row>
    <row r="151" spans="1:14" ht="13" hidden="1">
      <c r="A151" s="207"/>
      <c r="H151" s="226"/>
      <c r="K151" s="214"/>
      <c r="L151" s="214"/>
      <c r="M151" s="214"/>
      <c r="N151" s="214"/>
    </row>
    <row r="152" spans="1:14" ht="13" hidden="1">
      <c r="A152" s="233"/>
      <c r="H152" s="226"/>
      <c r="K152" s="214"/>
      <c r="L152" s="214"/>
      <c r="M152" s="214"/>
      <c r="N152" s="214"/>
    </row>
    <row r="153" spans="1:14" ht="13" hidden="1">
      <c r="A153" s="233"/>
      <c r="H153" s="226"/>
      <c r="K153" s="214"/>
      <c r="L153" s="214"/>
      <c r="M153" s="214"/>
      <c r="N153" s="214"/>
    </row>
    <row r="154" spans="1:14" ht="13" hidden="1">
      <c r="H154" s="226"/>
      <c r="K154" s="214"/>
      <c r="L154" s="214"/>
      <c r="M154" s="214"/>
      <c r="N154" s="214"/>
    </row>
    <row r="155" spans="1:14" ht="13" hidden="1">
      <c r="H155" s="226"/>
      <c r="K155" s="214"/>
      <c r="L155" s="214"/>
      <c r="M155" s="214"/>
      <c r="N155" s="214"/>
    </row>
    <row r="156" spans="1:14" ht="13" hidden="1">
      <c r="H156" s="226"/>
      <c r="K156" s="214"/>
      <c r="L156" s="214"/>
      <c r="M156" s="214"/>
      <c r="N156" s="214"/>
    </row>
    <row r="157" spans="1:14" ht="13" hidden="1">
      <c r="H157" s="226"/>
      <c r="K157" s="214"/>
      <c r="L157" s="214"/>
      <c r="M157" s="214"/>
      <c r="N157" s="214"/>
    </row>
    <row r="158" spans="1:14" ht="13" hidden="1">
      <c r="H158" s="226"/>
    </row>
    <row r="159" spans="1:14" ht="13" hidden="1">
      <c r="H159" s="226"/>
    </row>
    <row r="160" spans="1:14" ht="13" hidden="1">
      <c r="H160" s="226"/>
    </row>
    <row r="161" spans="8:8" ht="13" hidden="1">
      <c r="H161" s="226"/>
    </row>
    <row r="162" spans="8:8" ht="13" hidden="1">
      <c r="H162" s="226"/>
    </row>
    <row r="163" spans="8:8" ht="13" hidden="1">
      <c r="H163" s="226"/>
    </row>
    <row r="164" spans="8:8" ht="13" hidden="1">
      <c r="H164" s="226"/>
    </row>
    <row r="165" spans="8:8" ht="13" hidden="1">
      <c r="H165" s="226"/>
    </row>
    <row r="166" spans="8:8" ht="13" hidden="1">
      <c r="H166" s="226"/>
    </row>
    <row r="167" spans="8:8" ht="13" hidden="1">
      <c r="H167" s="226"/>
    </row>
    <row r="168" spans="8:8" ht="13" hidden="1">
      <c r="H168" s="226"/>
    </row>
    <row r="169" spans="8:8" ht="13" hidden="1">
      <c r="H169" s="226"/>
    </row>
    <row r="170" spans="8:8" ht="13" hidden="1">
      <c r="H170" s="226"/>
    </row>
    <row r="171" spans="8:8" ht="13" hidden="1">
      <c r="H171" s="226"/>
    </row>
    <row r="172" spans="8:8" ht="13" hidden="1">
      <c r="H172" s="226"/>
    </row>
    <row r="173" spans="8:8" ht="13" hidden="1">
      <c r="H173" s="226"/>
    </row>
    <row r="174" spans="8:8" ht="13" hidden="1">
      <c r="H174" s="226"/>
    </row>
    <row r="175" spans="8:8" ht="13" hidden="1">
      <c r="H175" s="226"/>
    </row>
    <row r="176" spans="8:8" ht="13" hidden="1">
      <c r="H176" s="226"/>
    </row>
    <row r="177" spans="8:8" ht="13" hidden="1">
      <c r="H177" s="226"/>
    </row>
    <row r="178" spans="8:8" ht="13" hidden="1">
      <c r="H178" s="226"/>
    </row>
    <row r="179" spans="8:8" ht="13" hidden="1">
      <c r="H179" s="226"/>
    </row>
    <row r="180" spans="8:8" ht="13" hidden="1">
      <c r="H180" s="226"/>
    </row>
    <row r="181" spans="8:8" ht="13" hidden="1">
      <c r="H181" s="226"/>
    </row>
    <row r="182" spans="8:8" ht="13" hidden="1">
      <c r="H182" s="226"/>
    </row>
    <row r="183" spans="8:8" ht="13" hidden="1">
      <c r="H183" s="226"/>
    </row>
    <row r="184" spans="8:8" ht="13" hidden="1">
      <c r="H184" s="226"/>
    </row>
    <row r="185" spans="8:8" ht="13" hidden="1">
      <c r="H185" s="226"/>
    </row>
    <row r="186" spans="8:8" ht="13" hidden="1">
      <c r="H186" s="226"/>
    </row>
    <row r="187" spans="8:8" ht="13" hidden="1">
      <c r="H187" s="226"/>
    </row>
    <row r="188" spans="8:8" ht="13" hidden="1">
      <c r="H188" s="226"/>
    </row>
    <row r="189" spans="8:8" ht="13" hidden="1">
      <c r="H189" s="226"/>
    </row>
    <row r="190" spans="8:8" ht="13" hidden="1">
      <c r="H190" s="226"/>
    </row>
    <row r="191" spans="8:8" ht="13" hidden="1">
      <c r="H191" s="226"/>
    </row>
    <row r="192" spans="8:8" ht="13" hidden="1">
      <c r="H192" s="226"/>
    </row>
    <row r="193" spans="8:8" ht="13" hidden="1">
      <c r="H193" s="226"/>
    </row>
    <row r="194" spans="8:8" ht="13" hidden="1">
      <c r="H194" s="226"/>
    </row>
    <row r="195" spans="8:8" ht="13" hidden="1">
      <c r="H195" s="226"/>
    </row>
    <row r="196" spans="8:8" ht="13" hidden="1">
      <c r="H196" s="226"/>
    </row>
    <row r="197" spans="8:8" ht="13" hidden="1">
      <c r="H197" s="226"/>
    </row>
    <row r="198" spans="8:8" ht="13" hidden="1">
      <c r="H198" s="226"/>
    </row>
    <row r="199" spans="8:8" ht="13" hidden="1">
      <c r="H199" s="226"/>
    </row>
    <row r="200" spans="8:8" ht="13" hidden="1">
      <c r="H200" s="226"/>
    </row>
    <row r="201" spans="8:8" ht="13" hidden="1">
      <c r="H201" s="226"/>
    </row>
    <row r="202" spans="8:8" ht="13" hidden="1">
      <c r="H202" s="226"/>
    </row>
    <row r="203" spans="8:8" ht="13" hidden="1">
      <c r="H203" s="226"/>
    </row>
    <row r="204" spans="8:8" ht="13" hidden="1">
      <c r="H204" s="226"/>
    </row>
    <row r="205" spans="8:8" ht="13" hidden="1">
      <c r="H205" s="226"/>
    </row>
    <row r="206" spans="8:8" ht="13" hidden="1">
      <c r="H206" s="226"/>
    </row>
    <row r="207" spans="8:8" ht="13" hidden="1">
      <c r="H207" s="226"/>
    </row>
    <row r="208" spans="8:8" ht="13" hidden="1">
      <c r="H208" s="226"/>
    </row>
    <row r="209" spans="8:8" ht="13" hidden="1">
      <c r="H209" s="226"/>
    </row>
    <row r="210" spans="8:8" ht="13" hidden="1">
      <c r="H210" s="226"/>
    </row>
    <row r="211" spans="8:8" ht="13" hidden="1">
      <c r="H211" s="226"/>
    </row>
    <row r="212" spans="8:8" ht="13" hidden="1">
      <c r="H212" s="226"/>
    </row>
    <row r="213" spans="8:8" ht="13" hidden="1">
      <c r="H213" s="226"/>
    </row>
    <row r="214" spans="8:8" ht="13" hidden="1">
      <c r="H214" s="226"/>
    </row>
    <row r="215" spans="8:8" ht="13" hidden="1">
      <c r="H215" s="226"/>
    </row>
    <row r="216" spans="8:8" ht="13" hidden="1">
      <c r="H216" s="226"/>
    </row>
    <row r="217" spans="8:8" ht="13" hidden="1">
      <c r="H217" s="226"/>
    </row>
    <row r="218" spans="8:8" ht="13" hidden="1">
      <c r="H218" s="226"/>
    </row>
    <row r="219" spans="8:8" ht="13" hidden="1">
      <c r="H219" s="226"/>
    </row>
    <row r="220" spans="8:8" ht="13" hidden="1">
      <c r="H220" s="226"/>
    </row>
    <row r="221" spans="8:8" ht="13" hidden="1">
      <c r="H221" s="226"/>
    </row>
    <row r="222" spans="8:8" ht="13" hidden="1">
      <c r="H222" s="226"/>
    </row>
    <row r="223" spans="8:8" ht="13" hidden="1">
      <c r="H223" s="226"/>
    </row>
    <row r="224" spans="8:8" ht="13" hidden="1">
      <c r="H224" s="226"/>
    </row>
    <row r="225" spans="8:8" ht="13" hidden="1">
      <c r="H225" s="226"/>
    </row>
    <row r="226" spans="8:8" ht="13" hidden="1">
      <c r="H226" s="226"/>
    </row>
    <row r="227" spans="8:8" ht="13" hidden="1">
      <c r="H227" s="226"/>
    </row>
    <row r="228" spans="8:8" ht="13" hidden="1">
      <c r="H228" s="226"/>
    </row>
    <row r="229" spans="8:8" ht="13" hidden="1">
      <c r="H229" s="226"/>
    </row>
    <row r="230" spans="8:8" ht="13" hidden="1">
      <c r="H230" s="226"/>
    </row>
    <row r="231" spans="8:8" ht="13" hidden="1">
      <c r="H231" s="226"/>
    </row>
    <row r="232" spans="8:8" ht="13" hidden="1">
      <c r="H232" s="226"/>
    </row>
    <row r="233" spans="8:8" ht="13" hidden="1">
      <c r="H233" s="226"/>
    </row>
    <row r="234" spans="8:8" ht="13" hidden="1">
      <c r="H234" s="226"/>
    </row>
    <row r="235" spans="8:8" ht="13" hidden="1">
      <c r="H235" s="226"/>
    </row>
    <row r="236" spans="8:8" ht="13" hidden="1">
      <c r="H236" s="226"/>
    </row>
    <row r="237" spans="8:8" ht="13" hidden="1">
      <c r="H237" s="226"/>
    </row>
    <row r="238" spans="8:8" ht="13" hidden="1">
      <c r="H238" s="226"/>
    </row>
    <row r="239" spans="8:8" ht="13" hidden="1">
      <c r="H239" s="226"/>
    </row>
    <row r="240" spans="8:8" ht="13" hidden="1">
      <c r="H240" s="226"/>
    </row>
    <row r="241" spans="8:8" ht="13" hidden="1">
      <c r="H241" s="226"/>
    </row>
    <row r="242" spans="8:8" ht="13" hidden="1">
      <c r="H242" s="226"/>
    </row>
    <row r="243" spans="8:8" ht="13" hidden="1">
      <c r="H243" s="226"/>
    </row>
    <row r="244" spans="8:8" ht="13" hidden="1">
      <c r="H244" s="226"/>
    </row>
    <row r="245" spans="8:8" ht="13" hidden="1">
      <c r="H245" s="226"/>
    </row>
    <row r="246" spans="8:8" ht="13" hidden="1">
      <c r="H246" s="226"/>
    </row>
    <row r="247" spans="8:8" ht="13" hidden="1">
      <c r="H247" s="226"/>
    </row>
    <row r="248" spans="8:8" ht="13" hidden="1">
      <c r="H248" s="226"/>
    </row>
    <row r="249" spans="8:8" ht="13" hidden="1">
      <c r="H249" s="226"/>
    </row>
    <row r="250" spans="8:8" ht="13" hidden="1">
      <c r="H250" s="226"/>
    </row>
    <row r="251" spans="8:8" ht="13" hidden="1">
      <c r="H251" s="226"/>
    </row>
    <row r="252" spans="8:8" ht="13" hidden="1">
      <c r="H252" s="226"/>
    </row>
    <row r="253" spans="8:8" ht="13" hidden="1">
      <c r="H253" s="226"/>
    </row>
    <row r="254" spans="8:8" ht="13" hidden="1">
      <c r="H254" s="226"/>
    </row>
    <row r="255" spans="8:8" ht="13" hidden="1">
      <c r="H255" s="226"/>
    </row>
    <row r="256" spans="8:8" ht="13" hidden="1">
      <c r="H256" s="226"/>
    </row>
    <row r="257" spans="8:8" ht="13" hidden="1">
      <c r="H257" s="226"/>
    </row>
    <row r="258" spans="8:8" ht="13" hidden="1">
      <c r="H258" s="226"/>
    </row>
    <row r="259" spans="8:8" ht="13" hidden="1">
      <c r="H259" s="226"/>
    </row>
    <row r="260" spans="8:8" ht="13" hidden="1">
      <c r="H260" s="226"/>
    </row>
    <row r="261" spans="8:8" ht="13" hidden="1">
      <c r="H261" s="226"/>
    </row>
    <row r="262" spans="8:8" ht="13" hidden="1">
      <c r="H262" s="226"/>
    </row>
    <row r="263" spans="8:8" ht="13" hidden="1">
      <c r="H263" s="226"/>
    </row>
    <row r="264" spans="8:8" ht="13" hidden="1">
      <c r="H264" s="226"/>
    </row>
    <row r="265" spans="8:8" ht="13" hidden="1">
      <c r="H265" s="226"/>
    </row>
    <row r="266" spans="8:8" ht="13" hidden="1">
      <c r="H266" s="226"/>
    </row>
    <row r="267" spans="8:8" ht="13" hidden="1">
      <c r="H267" s="226"/>
    </row>
    <row r="268" spans="8:8" ht="13" hidden="1">
      <c r="H268" s="226"/>
    </row>
    <row r="269" spans="8:8" ht="13" hidden="1">
      <c r="H269" s="226"/>
    </row>
    <row r="270" spans="8:8" ht="13" hidden="1">
      <c r="H270" s="226"/>
    </row>
    <row r="271" spans="8:8" ht="13" hidden="1">
      <c r="H271" s="226"/>
    </row>
    <row r="272" spans="8:8" ht="13" hidden="1">
      <c r="H272" s="226"/>
    </row>
    <row r="273" spans="8:8" ht="13" hidden="1">
      <c r="H273" s="226"/>
    </row>
    <row r="274" spans="8:8" ht="13" hidden="1">
      <c r="H274" s="226"/>
    </row>
    <row r="275" spans="8:8" ht="13" hidden="1">
      <c r="H275" s="226"/>
    </row>
    <row r="276" spans="8:8" ht="13" hidden="1">
      <c r="H276" s="226"/>
    </row>
    <row r="277" spans="8:8" ht="13" hidden="1">
      <c r="H277" s="226"/>
    </row>
    <row r="278" spans="8:8" ht="13" hidden="1">
      <c r="H278" s="226"/>
    </row>
    <row r="279" spans="8:8" ht="13" hidden="1">
      <c r="H279" s="226"/>
    </row>
    <row r="280" spans="8:8" ht="13" hidden="1">
      <c r="H280" s="226"/>
    </row>
    <row r="281" spans="8:8" ht="13" hidden="1">
      <c r="H281" s="226"/>
    </row>
    <row r="282" spans="8:8" ht="13" hidden="1">
      <c r="H282" s="226"/>
    </row>
    <row r="283" spans="8:8" ht="13" hidden="1">
      <c r="H283" s="226"/>
    </row>
    <row r="284" spans="8:8" ht="13" hidden="1">
      <c r="H284" s="226"/>
    </row>
    <row r="285" spans="8:8" ht="13" hidden="1">
      <c r="H285" s="226"/>
    </row>
    <row r="286" spans="8:8" ht="13" hidden="1">
      <c r="H286" s="226"/>
    </row>
    <row r="287" spans="8:8" ht="13" hidden="1">
      <c r="H287" s="226"/>
    </row>
    <row r="288" spans="8:8" ht="13" hidden="1">
      <c r="H288" s="226"/>
    </row>
    <row r="289" spans="8:8" ht="13" hidden="1">
      <c r="H289" s="226"/>
    </row>
    <row r="290" spans="8:8" ht="13" hidden="1">
      <c r="H290" s="226"/>
    </row>
    <row r="291" spans="8:8" ht="13" hidden="1">
      <c r="H291" s="226"/>
    </row>
    <row r="292" spans="8:8" ht="13" hidden="1">
      <c r="H292" s="226"/>
    </row>
    <row r="293" spans="8:8" ht="13" hidden="1">
      <c r="H293" s="226"/>
    </row>
    <row r="294" spans="8:8" ht="13" hidden="1">
      <c r="H294" s="226"/>
    </row>
    <row r="295" spans="8:8" ht="13" hidden="1">
      <c r="H295" s="226"/>
    </row>
    <row r="296" spans="8:8" ht="13" hidden="1">
      <c r="H296" s="226"/>
    </row>
    <row r="297" spans="8:8" ht="13" hidden="1">
      <c r="H297" s="226"/>
    </row>
    <row r="298" spans="8:8" ht="13" hidden="1">
      <c r="H298" s="226"/>
    </row>
    <row r="299" spans="8:8" ht="13" hidden="1">
      <c r="H299" s="226"/>
    </row>
    <row r="300" spans="8:8" ht="13" hidden="1">
      <c r="H300" s="226"/>
    </row>
    <row r="301" spans="8:8" ht="13" hidden="1">
      <c r="H301" s="226"/>
    </row>
    <row r="302" spans="8:8" ht="13" hidden="1">
      <c r="H302" s="226"/>
    </row>
    <row r="303" spans="8:8" ht="13" hidden="1">
      <c r="H303" s="226"/>
    </row>
    <row r="304" spans="8:8" ht="13" hidden="1">
      <c r="H304" s="226"/>
    </row>
    <row r="305" spans="8:8" ht="13" hidden="1">
      <c r="H305" s="226"/>
    </row>
    <row r="306" spans="8:8" ht="13" hidden="1">
      <c r="H306" s="226"/>
    </row>
    <row r="307" spans="8:8" ht="13" hidden="1">
      <c r="H307" s="226"/>
    </row>
    <row r="308" spans="8:8" ht="13" hidden="1">
      <c r="H308" s="226"/>
    </row>
    <row r="309" spans="8:8" ht="13" hidden="1">
      <c r="H309" s="226"/>
    </row>
    <row r="310" spans="8:8" ht="13" hidden="1">
      <c r="H310" s="226"/>
    </row>
    <row r="311" spans="8:8" ht="13" hidden="1">
      <c r="H311" s="226"/>
    </row>
    <row r="312" spans="8:8" ht="13" hidden="1">
      <c r="H312" s="226"/>
    </row>
    <row r="313" spans="8:8" ht="13" hidden="1">
      <c r="H313" s="226"/>
    </row>
    <row r="314" spans="8:8" ht="13" hidden="1">
      <c r="H314" s="226"/>
    </row>
    <row r="315" spans="8:8" ht="13" hidden="1">
      <c r="H315" s="226"/>
    </row>
    <row r="316" spans="8:8" ht="13" hidden="1">
      <c r="H316" s="226"/>
    </row>
    <row r="317" spans="8:8" ht="13" hidden="1">
      <c r="H317" s="226"/>
    </row>
    <row r="318" spans="8:8" ht="13" hidden="1">
      <c r="H318" s="226"/>
    </row>
    <row r="319" spans="8:8" ht="13" hidden="1">
      <c r="H319" s="226"/>
    </row>
    <row r="320" spans="8:8" ht="13" hidden="1">
      <c r="H320" s="226"/>
    </row>
    <row r="321" spans="8:8" ht="13" hidden="1">
      <c r="H321" s="226"/>
    </row>
    <row r="322" spans="8:8" ht="13" hidden="1">
      <c r="H322" s="226"/>
    </row>
    <row r="323" spans="8:8" ht="13" hidden="1">
      <c r="H323" s="226"/>
    </row>
    <row r="324" spans="8:8" ht="13" hidden="1">
      <c r="H324" s="226"/>
    </row>
    <row r="325" spans="8:8" ht="13" hidden="1">
      <c r="H325" s="226"/>
    </row>
    <row r="326" spans="8:8" ht="13" hidden="1">
      <c r="H326" s="226"/>
    </row>
    <row r="327" spans="8:8" ht="13" hidden="1">
      <c r="H327" s="226"/>
    </row>
    <row r="328" spans="8:8" ht="13" hidden="1">
      <c r="H328" s="226"/>
    </row>
    <row r="329" spans="8:8" ht="13" hidden="1">
      <c r="H329" s="226"/>
    </row>
    <row r="330" spans="8:8" ht="13" hidden="1">
      <c r="H330" s="226"/>
    </row>
    <row r="331" spans="8:8" ht="13" hidden="1">
      <c r="H331" s="226"/>
    </row>
    <row r="332" spans="8:8" ht="13" hidden="1">
      <c r="H332" s="226"/>
    </row>
    <row r="333" spans="8:8" ht="13" hidden="1">
      <c r="H333" s="226"/>
    </row>
    <row r="334" spans="8:8" ht="13" hidden="1">
      <c r="H334" s="226"/>
    </row>
    <row r="335" spans="8:8" ht="13" hidden="1">
      <c r="H335" s="226"/>
    </row>
    <row r="336" spans="8:8" ht="13" hidden="1">
      <c r="H336" s="226"/>
    </row>
    <row r="337" spans="8:8" ht="13" hidden="1">
      <c r="H337" s="226"/>
    </row>
    <row r="338" spans="8:8" ht="13" hidden="1">
      <c r="H338" s="226"/>
    </row>
    <row r="339" spans="8:8" ht="13" hidden="1">
      <c r="H339" s="226"/>
    </row>
    <row r="340" spans="8:8" ht="13" hidden="1">
      <c r="H340" s="226"/>
    </row>
    <row r="341" spans="8:8" ht="13" hidden="1">
      <c r="H341" s="226"/>
    </row>
    <row r="342" spans="8:8" ht="13" hidden="1">
      <c r="H342" s="226"/>
    </row>
    <row r="343" spans="8:8" ht="13" hidden="1">
      <c r="H343" s="226"/>
    </row>
    <row r="344" spans="8:8" ht="13" hidden="1">
      <c r="H344" s="226"/>
    </row>
    <row r="345" spans="8:8" ht="13" hidden="1">
      <c r="H345" s="226"/>
    </row>
    <row r="346" spans="8:8" ht="13" hidden="1">
      <c r="H346" s="226"/>
    </row>
    <row r="347" spans="8:8" ht="13" hidden="1">
      <c r="H347" s="226"/>
    </row>
    <row r="348" spans="8:8" ht="13" hidden="1">
      <c r="H348" s="226"/>
    </row>
    <row r="349" spans="8:8" ht="13" hidden="1">
      <c r="H349" s="226"/>
    </row>
    <row r="350" spans="8:8" ht="13" hidden="1">
      <c r="H350" s="226"/>
    </row>
    <row r="351" spans="8:8" ht="13" hidden="1">
      <c r="H351" s="226"/>
    </row>
    <row r="352" spans="8:8" ht="13" hidden="1">
      <c r="H352" s="226"/>
    </row>
    <row r="353" spans="8:8" ht="13" hidden="1">
      <c r="H353" s="226"/>
    </row>
    <row r="354" spans="8:8" ht="13" hidden="1">
      <c r="H354" s="226"/>
    </row>
    <row r="355" spans="8:8" ht="13" hidden="1">
      <c r="H355" s="226"/>
    </row>
    <row r="356" spans="8:8" ht="13" hidden="1">
      <c r="H356" s="226"/>
    </row>
    <row r="357" spans="8:8" ht="13" hidden="1">
      <c r="H357" s="226"/>
    </row>
    <row r="358" spans="8:8" ht="13" hidden="1">
      <c r="H358" s="226"/>
    </row>
    <row r="359" spans="8:8" ht="13" hidden="1">
      <c r="H359" s="226"/>
    </row>
    <row r="360" spans="8:8" ht="13" hidden="1">
      <c r="H360" s="226"/>
    </row>
    <row r="361" spans="8:8" ht="13" hidden="1">
      <c r="H361" s="226"/>
    </row>
    <row r="362" spans="8:8" ht="13" hidden="1">
      <c r="H362" s="226"/>
    </row>
    <row r="363" spans="8:8" ht="13" hidden="1">
      <c r="H363" s="226"/>
    </row>
    <row r="364" spans="8:8" ht="13" hidden="1">
      <c r="H364" s="226"/>
    </row>
    <row r="365" spans="8:8" ht="13" hidden="1">
      <c r="H365" s="226"/>
    </row>
    <row r="366" spans="8:8" ht="13" hidden="1">
      <c r="H366" s="226"/>
    </row>
    <row r="367" spans="8:8" ht="13" hidden="1">
      <c r="H367" s="226"/>
    </row>
    <row r="368" spans="8:8" ht="13" hidden="1">
      <c r="H368" s="226"/>
    </row>
    <row r="369" spans="8:8" ht="13" hidden="1">
      <c r="H369" s="226"/>
    </row>
    <row r="370" spans="8:8" ht="13" hidden="1">
      <c r="H370" s="226"/>
    </row>
    <row r="371" spans="8:8" ht="13" hidden="1">
      <c r="H371" s="226"/>
    </row>
    <row r="372" spans="8:8" ht="13" hidden="1">
      <c r="H372" s="226"/>
    </row>
    <row r="373" spans="8:8" ht="13" hidden="1">
      <c r="H373" s="226"/>
    </row>
    <row r="374" spans="8:8" ht="13" hidden="1">
      <c r="H374" s="226"/>
    </row>
    <row r="375" spans="8:8" ht="13" hidden="1">
      <c r="H375" s="226"/>
    </row>
    <row r="376" spans="8:8" ht="13" hidden="1">
      <c r="H376" s="226"/>
    </row>
    <row r="377" spans="8:8" ht="13" hidden="1">
      <c r="H377" s="226"/>
    </row>
    <row r="378" spans="8:8" ht="13" hidden="1">
      <c r="H378" s="226"/>
    </row>
    <row r="379" spans="8:8" ht="13" hidden="1">
      <c r="H379" s="226"/>
    </row>
    <row r="380" spans="8:8" ht="13" hidden="1">
      <c r="H380" s="226"/>
    </row>
    <row r="381" spans="8:8" ht="13" hidden="1">
      <c r="H381" s="226"/>
    </row>
    <row r="382" spans="8:8" ht="13" hidden="1">
      <c r="H382" s="226"/>
    </row>
    <row r="383" spans="8:8" ht="13" hidden="1">
      <c r="H383" s="226"/>
    </row>
    <row r="384" spans="8:8" ht="13" hidden="1">
      <c r="H384" s="226"/>
    </row>
    <row r="385" spans="8:8" ht="13" hidden="1">
      <c r="H385" s="226"/>
    </row>
    <row r="386" spans="8:8" ht="13" hidden="1">
      <c r="H386" s="226"/>
    </row>
    <row r="387" spans="8:8" ht="13" hidden="1">
      <c r="H387" s="226"/>
    </row>
    <row r="388" spans="8:8" ht="13" hidden="1">
      <c r="H388" s="226"/>
    </row>
    <row r="389" spans="8:8" ht="13" hidden="1">
      <c r="H389" s="226"/>
    </row>
    <row r="390" spans="8:8" ht="13" hidden="1">
      <c r="H390" s="226"/>
    </row>
    <row r="391" spans="8:8" ht="13" hidden="1">
      <c r="H391" s="226"/>
    </row>
    <row r="392" spans="8:8" ht="13" hidden="1">
      <c r="H392" s="226"/>
    </row>
    <row r="393" spans="8:8" ht="13" hidden="1">
      <c r="H393" s="226"/>
    </row>
    <row r="394" spans="8:8" ht="13" hidden="1">
      <c r="H394" s="226"/>
    </row>
    <row r="395" spans="8:8" ht="13" hidden="1">
      <c r="H395" s="226"/>
    </row>
    <row r="396" spans="8:8" ht="13" hidden="1">
      <c r="H396" s="226"/>
    </row>
    <row r="397" spans="8:8" ht="13" hidden="1">
      <c r="H397" s="226"/>
    </row>
    <row r="398" spans="8:8" ht="13" hidden="1">
      <c r="H398" s="226"/>
    </row>
    <row r="399" spans="8:8" ht="13" hidden="1">
      <c r="H399" s="226"/>
    </row>
    <row r="400" spans="8:8" ht="13" hidden="1">
      <c r="H400" s="226"/>
    </row>
    <row r="401" spans="8:8" ht="13" hidden="1">
      <c r="H401" s="226"/>
    </row>
    <row r="402" spans="8:8" ht="13" hidden="1">
      <c r="H402" s="226"/>
    </row>
    <row r="403" spans="8:8" ht="13" hidden="1">
      <c r="H403" s="226"/>
    </row>
    <row r="404" spans="8:8" ht="13" hidden="1">
      <c r="H404" s="226"/>
    </row>
    <row r="405" spans="8:8" ht="13" hidden="1">
      <c r="H405" s="226"/>
    </row>
    <row r="406" spans="8:8" ht="13" hidden="1">
      <c r="H406" s="226"/>
    </row>
    <row r="407" spans="8:8" ht="13" hidden="1">
      <c r="H407" s="226"/>
    </row>
    <row r="408" spans="8:8" ht="13" hidden="1">
      <c r="H408" s="226"/>
    </row>
    <row r="409" spans="8:8" ht="13" hidden="1">
      <c r="H409" s="226"/>
    </row>
    <row r="410" spans="8:8" ht="13" hidden="1">
      <c r="H410" s="226"/>
    </row>
    <row r="411" spans="8:8" ht="13" hidden="1">
      <c r="H411" s="226"/>
    </row>
    <row r="412" spans="8:8" ht="13" hidden="1">
      <c r="H412" s="226"/>
    </row>
    <row r="413" spans="8:8" ht="13" hidden="1">
      <c r="H413" s="226"/>
    </row>
    <row r="414" spans="8:8" ht="13" hidden="1">
      <c r="H414" s="226"/>
    </row>
    <row r="415" spans="8:8" ht="13" hidden="1">
      <c r="H415" s="226"/>
    </row>
    <row r="416" spans="8:8" ht="13" hidden="1">
      <c r="H416" s="226"/>
    </row>
    <row r="417" spans="8:8" ht="13" hidden="1">
      <c r="H417" s="226"/>
    </row>
    <row r="418" spans="8:8" ht="13" hidden="1">
      <c r="H418" s="226"/>
    </row>
    <row r="419" spans="8:8" ht="13" hidden="1">
      <c r="H419" s="226"/>
    </row>
    <row r="420" spans="8:8" ht="13" hidden="1">
      <c r="H420" s="226"/>
    </row>
    <row r="421" spans="8:8" ht="13" hidden="1">
      <c r="H421" s="226"/>
    </row>
    <row r="422" spans="8:8" ht="13" hidden="1">
      <c r="H422" s="226"/>
    </row>
    <row r="423" spans="8:8" ht="13" hidden="1">
      <c r="H423" s="226"/>
    </row>
    <row r="424" spans="8:8" ht="13" hidden="1">
      <c r="H424" s="226"/>
    </row>
    <row r="425" spans="8:8" ht="13" hidden="1">
      <c r="H425" s="226"/>
    </row>
    <row r="426" spans="8:8" ht="13" hidden="1">
      <c r="H426" s="226"/>
    </row>
    <row r="427" spans="8:8" ht="13" hidden="1">
      <c r="H427" s="226"/>
    </row>
    <row r="428" spans="8:8" ht="13" hidden="1">
      <c r="H428" s="226"/>
    </row>
    <row r="429" spans="8:8" ht="13" hidden="1">
      <c r="H429" s="226"/>
    </row>
    <row r="430" spans="8:8" ht="13" hidden="1">
      <c r="H430" s="226"/>
    </row>
    <row r="431" spans="8:8" ht="13" hidden="1">
      <c r="H431" s="226"/>
    </row>
    <row r="432" spans="8:8" ht="13" hidden="1">
      <c r="H432" s="226"/>
    </row>
    <row r="433" spans="8:8" ht="13" hidden="1">
      <c r="H433" s="226"/>
    </row>
    <row r="434" spans="8:8" ht="13" hidden="1">
      <c r="H434" s="226"/>
    </row>
    <row r="435" spans="8:8" ht="13" hidden="1">
      <c r="H435" s="226"/>
    </row>
    <row r="436" spans="8:8" ht="13" hidden="1">
      <c r="H436" s="226"/>
    </row>
    <row r="437" spans="8:8" ht="13" hidden="1">
      <c r="H437" s="226"/>
    </row>
    <row r="438" spans="8:8" ht="13" hidden="1">
      <c r="H438" s="226"/>
    </row>
    <row r="439" spans="8:8" ht="13" hidden="1">
      <c r="H439" s="226"/>
    </row>
    <row r="440" spans="8:8" ht="13" hidden="1">
      <c r="H440" s="226"/>
    </row>
    <row r="441" spans="8:8" ht="13" hidden="1">
      <c r="H441" s="226"/>
    </row>
    <row r="442" spans="8:8" ht="13" hidden="1">
      <c r="H442" s="226"/>
    </row>
    <row r="443" spans="8:8" ht="13" hidden="1">
      <c r="H443" s="226"/>
    </row>
    <row r="444" spans="8:8" ht="13" hidden="1">
      <c r="H444" s="226"/>
    </row>
    <row r="445" spans="8:8" ht="13" hidden="1">
      <c r="H445" s="226"/>
    </row>
    <row r="446" spans="8:8" ht="13" hidden="1">
      <c r="H446" s="226"/>
    </row>
    <row r="447" spans="8:8" ht="13" hidden="1">
      <c r="H447" s="226"/>
    </row>
    <row r="448" spans="8:8" ht="13" hidden="1">
      <c r="H448" s="226"/>
    </row>
    <row r="449" spans="8:8" ht="13" hidden="1">
      <c r="H449" s="226"/>
    </row>
    <row r="450" spans="8:8" ht="13" hidden="1">
      <c r="H450" s="226"/>
    </row>
    <row r="451" spans="8:8" ht="13" hidden="1">
      <c r="H451" s="226"/>
    </row>
    <row r="452" spans="8:8" ht="13" hidden="1">
      <c r="H452" s="226"/>
    </row>
    <row r="453" spans="8:8" ht="13" hidden="1">
      <c r="H453" s="226"/>
    </row>
    <row r="454" spans="8:8" ht="13" hidden="1">
      <c r="H454" s="226"/>
    </row>
    <row r="455" spans="8:8" ht="13" hidden="1">
      <c r="H455" s="226"/>
    </row>
    <row r="456" spans="8:8" ht="13" hidden="1">
      <c r="H456" s="226"/>
    </row>
    <row r="457" spans="8:8" ht="13" hidden="1">
      <c r="H457" s="226"/>
    </row>
    <row r="458" spans="8:8" ht="13" hidden="1">
      <c r="H458" s="226"/>
    </row>
    <row r="459" spans="8:8" ht="13" hidden="1">
      <c r="H459" s="226"/>
    </row>
    <row r="460" spans="8:8" ht="13" hidden="1">
      <c r="H460" s="226"/>
    </row>
    <row r="461" spans="8:8" ht="13" hidden="1">
      <c r="H461" s="226"/>
    </row>
    <row r="462" spans="8:8" ht="13" hidden="1">
      <c r="H462" s="226"/>
    </row>
    <row r="463" spans="8:8" ht="13" hidden="1">
      <c r="H463" s="226"/>
    </row>
    <row r="464" spans="8:8" ht="13" hidden="1">
      <c r="H464" s="226"/>
    </row>
    <row r="465" spans="8:8" ht="13" hidden="1">
      <c r="H465" s="226"/>
    </row>
    <row r="466" spans="8:8" ht="13" hidden="1">
      <c r="H466" s="226"/>
    </row>
    <row r="467" spans="8:8" ht="13" hidden="1">
      <c r="H467" s="226"/>
    </row>
    <row r="468" spans="8:8" ht="13" hidden="1">
      <c r="H468" s="226"/>
    </row>
    <row r="469" spans="8:8" ht="13" hidden="1">
      <c r="H469" s="226"/>
    </row>
    <row r="470" spans="8:8" ht="13" hidden="1">
      <c r="H470" s="226"/>
    </row>
    <row r="471" spans="8:8" ht="13" hidden="1">
      <c r="H471" s="226"/>
    </row>
    <row r="472" spans="8:8" ht="13" hidden="1">
      <c r="H472" s="226"/>
    </row>
    <row r="473" spans="8:8" ht="13" hidden="1">
      <c r="H473" s="226"/>
    </row>
    <row r="474" spans="8:8" ht="13" hidden="1">
      <c r="H474" s="226"/>
    </row>
    <row r="475" spans="8:8" ht="13" hidden="1">
      <c r="H475" s="226"/>
    </row>
    <row r="476" spans="8:8" ht="13" hidden="1">
      <c r="H476" s="226"/>
    </row>
    <row r="477" spans="8:8" ht="13" hidden="1">
      <c r="H477" s="226"/>
    </row>
    <row r="478" spans="8:8" ht="13" hidden="1">
      <c r="H478" s="226"/>
    </row>
    <row r="479" spans="8:8" ht="13" hidden="1">
      <c r="H479" s="226"/>
    </row>
    <row r="480" spans="8:8" ht="13" hidden="1">
      <c r="H480" s="226"/>
    </row>
    <row r="481" spans="8:8" ht="13" hidden="1">
      <c r="H481" s="226"/>
    </row>
    <row r="482" spans="8:8" ht="13" hidden="1">
      <c r="H482" s="226"/>
    </row>
    <row r="483" spans="8:8" ht="13" hidden="1">
      <c r="H483" s="226"/>
    </row>
    <row r="484" spans="8:8" ht="13" hidden="1">
      <c r="H484" s="226"/>
    </row>
    <row r="485" spans="8:8" ht="13" hidden="1">
      <c r="H485" s="226"/>
    </row>
    <row r="486" spans="8:8" ht="13" hidden="1">
      <c r="H486" s="226"/>
    </row>
    <row r="487" spans="8:8" ht="13" hidden="1">
      <c r="H487" s="226"/>
    </row>
    <row r="488" spans="8:8" ht="13" hidden="1">
      <c r="H488" s="226"/>
    </row>
    <row r="489" spans="8:8" ht="13" hidden="1">
      <c r="H489" s="226"/>
    </row>
    <row r="490" spans="8:8" ht="13" hidden="1">
      <c r="H490" s="226"/>
    </row>
    <row r="491" spans="8:8" ht="13" hidden="1">
      <c r="H491" s="226"/>
    </row>
    <row r="492" spans="8:8" ht="13" hidden="1">
      <c r="H492" s="226"/>
    </row>
    <row r="493" spans="8:8" ht="13" hidden="1">
      <c r="H493" s="226"/>
    </row>
    <row r="494" spans="8:8" ht="13" hidden="1">
      <c r="H494" s="226"/>
    </row>
    <row r="495" spans="8:8" ht="13" hidden="1">
      <c r="H495" s="226"/>
    </row>
    <row r="496" spans="8:8" ht="13" hidden="1">
      <c r="H496" s="226"/>
    </row>
    <row r="497" spans="8:8" ht="13" hidden="1">
      <c r="H497" s="226"/>
    </row>
    <row r="498" spans="8:8" ht="13" hidden="1">
      <c r="H498" s="226"/>
    </row>
    <row r="499" spans="8:8" ht="13" hidden="1">
      <c r="H499" s="226"/>
    </row>
    <row r="500" spans="8:8" ht="13" hidden="1">
      <c r="H500" s="226"/>
    </row>
    <row r="501" spans="8:8" ht="13" hidden="1">
      <c r="H501" s="226"/>
    </row>
    <row r="502" spans="8:8" ht="13" hidden="1">
      <c r="H502" s="226"/>
    </row>
    <row r="503" spans="8:8" ht="13" hidden="1">
      <c r="H503" s="226"/>
    </row>
    <row r="504" spans="8:8" ht="13" hidden="1">
      <c r="H504" s="226"/>
    </row>
    <row r="505" spans="8:8" ht="13" hidden="1">
      <c r="H505" s="226"/>
    </row>
    <row r="506" spans="8:8" ht="13" hidden="1">
      <c r="H506" s="226"/>
    </row>
    <row r="507" spans="8:8" ht="13" hidden="1">
      <c r="H507" s="226"/>
    </row>
    <row r="508" spans="8:8" ht="13" hidden="1">
      <c r="H508" s="226"/>
    </row>
    <row r="509" spans="8:8" ht="13" hidden="1">
      <c r="H509" s="226"/>
    </row>
    <row r="510" spans="8:8" ht="13" hidden="1">
      <c r="H510" s="226"/>
    </row>
    <row r="511" spans="8:8" ht="13" hidden="1">
      <c r="H511" s="226"/>
    </row>
    <row r="512" spans="8:8" ht="13" hidden="1">
      <c r="H512" s="226"/>
    </row>
    <row r="513" spans="8:8" ht="13" hidden="1">
      <c r="H513" s="226"/>
    </row>
    <row r="514" spans="8:8" ht="13" hidden="1">
      <c r="H514" s="226"/>
    </row>
    <row r="515" spans="8:8" ht="13" hidden="1">
      <c r="H515" s="226"/>
    </row>
    <row r="516" spans="8:8" ht="13" hidden="1">
      <c r="H516" s="226"/>
    </row>
    <row r="517" spans="8:8" ht="13" hidden="1">
      <c r="H517" s="226"/>
    </row>
    <row r="518" spans="8:8" ht="13" hidden="1">
      <c r="H518" s="226"/>
    </row>
    <row r="519" spans="8:8" ht="13" hidden="1">
      <c r="H519" s="226"/>
    </row>
    <row r="520" spans="8:8" ht="13" hidden="1">
      <c r="H520" s="226"/>
    </row>
    <row r="521" spans="8:8" ht="13" hidden="1">
      <c r="H521" s="226"/>
    </row>
    <row r="522" spans="8:8" ht="13" hidden="1">
      <c r="H522" s="226"/>
    </row>
    <row r="523" spans="8:8" ht="13" hidden="1">
      <c r="H523" s="226"/>
    </row>
    <row r="524" spans="8:8" ht="13" hidden="1">
      <c r="H524" s="226"/>
    </row>
    <row r="525" spans="8:8" ht="13" hidden="1">
      <c r="H525" s="226"/>
    </row>
    <row r="526" spans="8:8" ht="13" hidden="1">
      <c r="H526" s="226"/>
    </row>
    <row r="527" spans="8:8" ht="13" hidden="1">
      <c r="H527" s="226"/>
    </row>
    <row r="528" spans="8:8" ht="13" hidden="1">
      <c r="H528" s="226"/>
    </row>
    <row r="529" spans="8:8" ht="13" hidden="1">
      <c r="H529" s="226"/>
    </row>
    <row r="530" spans="8:8" ht="13" hidden="1">
      <c r="H530" s="226"/>
    </row>
    <row r="531" spans="8:8" ht="13" hidden="1">
      <c r="H531" s="226"/>
    </row>
    <row r="532" spans="8:8" ht="13" hidden="1">
      <c r="H532" s="226"/>
    </row>
    <row r="533" spans="8:8" ht="13" hidden="1">
      <c r="H533" s="226"/>
    </row>
    <row r="534" spans="8:8" ht="13" hidden="1">
      <c r="H534" s="226"/>
    </row>
    <row r="535" spans="8:8" ht="13" hidden="1">
      <c r="H535" s="226"/>
    </row>
    <row r="536" spans="8:8" ht="13" hidden="1">
      <c r="H536" s="226"/>
    </row>
    <row r="537" spans="8:8" ht="13" hidden="1">
      <c r="H537" s="226"/>
    </row>
    <row r="538" spans="8:8" ht="13" hidden="1">
      <c r="H538" s="226"/>
    </row>
    <row r="539" spans="8:8" ht="13" hidden="1">
      <c r="H539" s="226"/>
    </row>
    <row r="540" spans="8:8" ht="13" hidden="1">
      <c r="H540" s="226"/>
    </row>
    <row r="541" spans="8:8" ht="13" hidden="1">
      <c r="H541" s="226"/>
    </row>
    <row r="542" spans="8:8" ht="13" hidden="1">
      <c r="H542" s="226"/>
    </row>
    <row r="543" spans="8:8" ht="13" hidden="1">
      <c r="H543" s="226"/>
    </row>
    <row r="544" spans="8:8" ht="13" hidden="1">
      <c r="H544" s="226"/>
    </row>
    <row r="545" spans="8:8" ht="13" hidden="1">
      <c r="H545" s="226"/>
    </row>
    <row r="546" spans="8:8" ht="13" hidden="1">
      <c r="H546" s="226"/>
    </row>
    <row r="547" spans="8:8" ht="13" hidden="1">
      <c r="H547" s="226"/>
    </row>
    <row r="548" spans="8:8" ht="13" hidden="1">
      <c r="H548" s="226"/>
    </row>
    <row r="549" spans="8:8" ht="13" hidden="1">
      <c r="H549" s="226"/>
    </row>
    <row r="550" spans="8:8" ht="13" hidden="1">
      <c r="H550" s="226"/>
    </row>
    <row r="551" spans="8:8" ht="13" hidden="1">
      <c r="H551" s="226"/>
    </row>
    <row r="552" spans="8:8" ht="13" hidden="1">
      <c r="H552" s="226"/>
    </row>
    <row r="553" spans="8:8" ht="13" hidden="1">
      <c r="H553" s="226"/>
    </row>
    <row r="554" spans="8:8" ht="13" hidden="1">
      <c r="H554" s="226"/>
    </row>
    <row r="555" spans="8:8" ht="13" hidden="1">
      <c r="H555" s="226"/>
    </row>
    <row r="556" spans="8:8" ht="13" hidden="1">
      <c r="H556" s="226"/>
    </row>
    <row r="557" spans="8:8" ht="13" hidden="1">
      <c r="H557" s="226"/>
    </row>
    <row r="558" spans="8:8" ht="13" hidden="1">
      <c r="H558" s="226"/>
    </row>
    <row r="559" spans="8:8" ht="13" hidden="1">
      <c r="H559" s="226"/>
    </row>
    <row r="560" spans="8:8" ht="13" hidden="1">
      <c r="H560" s="226"/>
    </row>
    <row r="561" spans="8:8" ht="13" hidden="1">
      <c r="H561" s="226"/>
    </row>
    <row r="562" spans="8:8" ht="13" hidden="1">
      <c r="H562" s="226"/>
    </row>
    <row r="563" spans="8:8" ht="13" hidden="1">
      <c r="H563" s="226"/>
    </row>
    <row r="564" spans="8:8" ht="13" hidden="1">
      <c r="H564" s="226"/>
    </row>
    <row r="565" spans="8:8" ht="13" hidden="1">
      <c r="H565" s="226"/>
    </row>
    <row r="566" spans="8:8" ht="13" hidden="1">
      <c r="H566" s="226"/>
    </row>
    <row r="567" spans="8:8" ht="13" hidden="1">
      <c r="H567" s="226"/>
    </row>
    <row r="568" spans="8:8" ht="13" hidden="1">
      <c r="H568" s="226"/>
    </row>
    <row r="569" spans="8:8" ht="13" hidden="1">
      <c r="H569" s="226"/>
    </row>
    <row r="570" spans="8:8" ht="13" hidden="1">
      <c r="H570" s="226"/>
    </row>
    <row r="571" spans="8:8" ht="13" hidden="1">
      <c r="H571" s="226"/>
    </row>
    <row r="572" spans="8:8" ht="13" hidden="1">
      <c r="H572" s="226"/>
    </row>
    <row r="573" spans="8:8" ht="13" hidden="1">
      <c r="H573" s="226"/>
    </row>
    <row r="574" spans="8:8" ht="13" hidden="1">
      <c r="H574" s="226"/>
    </row>
    <row r="575" spans="8:8" ht="13" hidden="1">
      <c r="H575" s="226"/>
    </row>
    <row r="576" spans="8:8" ht="13" hidden="1">
      <c r="H576" s="226"/>
    </row>
    <row r="577" spans="8:8" ht="13" hidden="1">
      <c r="H577" s="226"/>
    </row>
    <row r="578" spans="8:8" ht="13" hidden="1">
      <c r="H578" s="226"/>
    </row>
    <row r="579" spans="8:8" ht="13" hidden="1">
      <c r="H579" s="226"/>
    </row>
    <row r="580" spans="8:8" ht="13" hidden="1">
      <c r="H580" s="226"/>
    </row>
    <row r="581" spans="8:8" ht="13" hidden="1">
      <c r="H581" s="226"/>
    </row>
    <row r="582" spans="8:8" ht="13" hidden="1">
      <c r="H582" s="226"/>
    </row>
    <row r="583" spans="8:8" ht="13" hidden="1">
      <c r="H583" s="226"/>
    </row>
    <row r="584" spans="8:8" ht="13" hidden="1">
      <c r="H584" s="226"/>
    </row>
    <row r="585" spans="8:8" ht="13" hidden="1">
      <c r="H585" s="226"/>
    </row>
    <row r="586" spans="8:8" ht="13" hidden="1">
      <c r="H586" s="226"/>
    </row>
    <row r="587" spans="8:8" ht="13" hidden="1">
      <c r="H587" s="226"/>
    </row>
    <row r="588" spans="8:8" ht="13" hidden="1">
      <c r="H588" s="226"/>
    </row>
    <row r="589" spans="8:8" ht="13" hidden="1">
      <c r="H589" s="226"/>
    </row>
    <row r="590" spans="8:8" ht="13" hidden="1">
      <c r="H590" s="226"/>
    </row>
    <row r="591" spans="8:8" ht="13" hidden="1">
      <c r="H591" s="226"/>
    </row>
    <row r="592" spans="8:8" ht="13" hidden="1">
      <c r="H592" s="226"/>
    </row>
    <row r="593" spans="8:8" ht="13" hidden="1">
      <c r="H593" s="226"/>
    </row>
    <row r="594" spans="8:8" ht="13" hidden="1">
      <c r="H594" s="226"/>
    </row>
    <row r="595" spans="8:8" ht="13" hidden="1">
      <c r="H595" s="226"/>
    </row>
    <row r="596" spans="8:8" ht="13" hidden="1">
      <c r="H596" s="226"/>
    </row>
    <row r="597" spans="8:8" ht="13" hidden="1">
      <c r="H597" s="226"/>
    </row>
    <row r="598" spans="8:8" ht="13" hidden="1">
      <c r="H598" s="226"/>
    </row>
    <row r="599" spans="8:8" ht="13" hidden="1">
      <c r="H599" s="226"/>
    </row>
    <row r="600" spans="8:8" ht="13" hidden="1">
      <c r="H600" s="226"/>
    </row>
    <row r="601" spans="8:8" ht="13" hidden="1">
      <c r="H601" s="226"/>
    </row>
    <row r="602" spans="8:8" ht="13" hidden="1">
      <c r="H602" s="226"/>
    </row>
    <row r="603" spans="8:8" ht="13" hidden="1">
      <c r="H603" s="226"/>
    </row>
    <row r="604" spans="8:8" ht="13" hidden="1">
      <c r="H604" s="226"/>
    </row>
    <row r="605" spans="8:8" ht="13" hidden="1">
      <c r="H605" s="226"/>
    </row>
    <row r="606" spans="8:8" ht="13" hidden="1">
      <c r="H606" s="226"/>
    </row>
    <row r="607" spans="8:8" ht="13" hidden="1">
      <c r="H607" s="226"/>
    </row>
    <row r="608" spans="8:8" ht="13" hidden="1">
      <c r="H608" s="226"/>
    </row>
    <row r="609" spans="8:8" ht="13" hidden="1">
      <c r="H609" s="226"/>
    </row>
    <row r="610" spans="8:8" ht="13" hidden="1">
      <c r="H610" s="226"/>
    </row>
    <row r="611" spans="8:8" ht="13" hidden="1">
      <c r="H611" s="226"/>
    </row>
    <row r="612" spans="8:8" ht="13" hidden="1">
      <c r="H612" s="226"/>
    </row>
    <row r="613" spans="8:8" ht="13" hidden="1">
      <c r="H613" s="226"/>
    </row>
    <row r="614" spans="8:8" ht="13" hidden="1">
      <c r="H614" s="226"/>
    </row>
    <row r="615" spans="8:8" ht="13" hidden="1">
      <c r="H615" s="226"/>
    </row>
    <row r="616" spans="8:8" ht="13" hidden="1">
      <c r="H616" s="226"/>
    </row>
    <row r="617" spans="8:8" ht="13" hidden="1">
      <c r="H617" s="226"/>
    </row>
    <row r="618" spans="8:8" ht="13" hidden="1">
      <c r="H618" s="226"/>
    </row>
    <row r="619" spans="8:8" ht="13" hidden="1">
      <c r="H619" s="226"/>
    </row>
    <row r="620" spans="8:8" ht="13" hidden="1">
      <c r="H620" s="226"/>
    </row>
    <row r="621" spans="8:8" ht="13" hidden="1">
      <c r="H621" s="226"/>
    </row>
    <row r="622" spans="8:8" ht="13" hidden="1">
      <c r="H622" s="226"/>
    </row>
    <row r="623" spans="8:8" ht="13" hidden="1">
      <c r="H623" s="226"/>
    </row>
    <row r="624" spans="8:8" ht="13" hidden="1">
      <c r="H624" s="226"/>
    </row>
    <row r="625" spans="8:8" ht="13" hidden="1">
      <c r="H625" s="226"/>
    </row>
    <row r="626" spans="8:8" ht="13" hidden="1">
      <c r="H626" s="226"/>
    </row>
    <row r="627" spans="8:8" ht="13" hidden="1">
      <c r="H627" s="226"/>
    </row>
    <row r="628" spans="8:8" ht="13" hidden="1">
      <c r="H628" s="226"/>
    </row>
    <row r="629" spans="8:8" ht="13" hidden="1">
      <c r="H629" s="226"/>
    </row>
    <row r="630" spans="8:8" ht="13" hidden="1">
      <c r="H630" s="226"/>
    </row>
    <row r="631" spans="8:8" ht="13" hidden="1">
      <c r="H631" s="226"/>
    </row>
    <row r="632" spans="8:8" ht="13" hidden="1">
      <c r="H632" s="226"/>
    </row>
    <row r="633" spans="8:8" ht="13" hidden="1">
      <c r="H633" s="226"/>
    </row>
    <row r="634" spans="8:8" ht="13" hidden="1">
      <c r="H634" s="226"/>
    </row>
    <row r="635" spans="8:8" ht="13" hidden="1">
      <c r="H635" s="226"/>
    </row>
    <row r="636" spans="8:8" ht="13" hidden="1">
      <c r="H636" s="226"/>
    </row>
    <row r="637" spans="8:8" ht="13" hidden="1">
      <c r="H637" s="226"/>
    </row>
    <row r="638" spans="8:8" ht="13" hidden="1">
      <c r="H638" s="226"/>
    </row>
    <row r="639" spans="8:8" ht="13" hidden="1">
      <c r="H639" s="226"/>
    </row>
    <row r="640" spans="8:8" ht="13" hidden="1">
      <c r="H640" s="226"/>
    </row>
    <row r="641" spans="8:8" ht="13" hidden="1">
      <c r="H641" s="226"/>
    </row>
    <row r="642" spans="8:8" ht="13" hidden="1">
      <c r="H642" s="226"/>
    </row>
    <row r="643" spans="8:8" ht="13" hidden="1">
      <c r="H643" s="226"/>
    </row>
    <row r="644" spans="8:8" ht="13" hidden="1">
      <c r="H644" s="226"/>
    </row>
    <row r="645" spans="8:8" ht="13" hidden="1">
      <c r="H645" s="226"/>
    </row>
    <row r="646" spans="8:8" ht="13" hidden="1">
      <c r="H646" s="226"/>
    </row>
    <row r="647" spans="8:8" ht="13" hidden="1">
      <c r="H647" s="226"/>
    </row>
    <row r="648" spans="8:8" ht="13" hidden="1">
      <c r="H648" s="226"/>
    </row>
    <row r="649" spans="8:8" ht="13" hidden="1">
      <c r="H649" s="226"/>
    </row>
    <row r="650" spans="8:8" ht="13" hidden="1">
      <c r="H650" s="226"/>
    </row>
    <row r="651" spans="8:8" ht="13" hidden="1">
      <c r="H651" s="226"/>
    </row>
    <row r="652" spans="8:8" ht="13" hidden="1">
      <c r="H652" s="226"/>
    </row>
    <row r="653" spans="8:8" ht="13" hidden="1">
      <c r="H653" s="226"/>
    </row>
    <row r="654" spans="8:8" ht="13" hidden="1">
      <c r="H654" s="226"/>
    </row>
    <row r="655" spans="8:8" ht="13" hidden="1">
      <c r="H655" s="226"/>
    </row>
    <row r="656" spans="8:8" ht="13" hidden="1">
      <c r="H656" s="226"/>
    </row>
    <row r="657" spans="8:8" ht="13" hidden="1">
      <c r="H657" s="226"/>
    </row>
    <row r="658" spans="8:8" ht="13" hidden="1">
      <c r="H658" s="226"/>
    </row>
    <row r="659" spans="8:8" ht="13" hidden="1">
      <c r="H659" s="226"/>
    </row>
    <row r="660" spans="8:8" ht="13" hidden="1">
      <c r="H660" s="226"/>
    </row>
    <row r="661" spans="8:8" ht="13" hidden="1">
      <c r="H661" s="226"/>
    </row>
    <row r="662" spans="8:8" ht="13" hidden="1">
      <c r="H662" s="226"/>
    </row>
    <row r="663" spans="8:8" ht="13" hidden="1">
      <c r="H663" s="226"/>
    </row>
    <row r="664" spans="8:8" ht="13" hidden="1">
      <c r="H664" s="226"/>
    </row>
    <row r="665" spans="8:8" ht="13" hidden="1">
      <c r="H665" s="226"/>
    </row>
    <row r="666" spans="8:8" ht="13" hidden="1">
      <c r="H666" s="226"/>
    </row>
    <row r="667" spans="8:8" ht="13" hidden="1">
      <c r="H667" s="226"/>
    </row>
    <row r="668" spans="8:8" ht="13" hidden="1">
      <c r="H668" s="226"/>
    </row>
    <row r="669" spans="8:8" ht="13" hidden="1">
      <c r="H669" s="226"/>
    </row>
    <row r="670" spans="8:8" ht="13" hidden="1">
      <c r="H670" s="226"/>
    </row>
    <row r="671" spans="8:8" ht="13" hidden="1">
      <c r="H671" s="226"/>
    </row>
    <row r="672" spans="8:8" ht="13" hidden="1">
      <c r="H672" s="226"/>
    </row>
    <row r="673" spans="8:8" ht="13" hidden="1">
      <c r="H673" s="226"/>
    </row>
    <row r="674" spans="8:8" ht="13" hidden="1">
      <c r="H674" s="226"/>
    </row>
    <row r="675" spans="8:8" ht="13" hidden="1">
      <c r="H675" s="226"/>
    </row>
    <row r="676" spans="8:8" ht="13" hidden="1">
      <c r="H676" s="226"/>
    </row>
    <row r="677" spans="8:8" ht="13" hidden="1">
      <c r="H677" s="226"/>
    </row>
    <row r="678" spans="8:8" ht="13" hidden="1">
      <c r="H678" s="226"/>
    </row>
    <row r="679" spans="8:8" ht="13" hidden="1">
      <c r="H679" s="226"/>
    </row>
    <row r="680" spans="8:8" ht="13" hidden="1">
      <c r="H680" s="226"/>
    </row>
    <row r="681" spans="8:8" ht="13" hidden="1">
      <c r="H681" s="226"/>
    </row>
    <row r="682" spans="8:8" ht="13" hidden="1">
      <c r="H682" s="226"/>
    </row>
    <row r="683" spans="8:8" ht="13" hidden="1">
      <c r="H683" s="226"/>
    </row>
    <row r="684" spans="8:8" ht="13" hidden="1">
      <c r="H684" s="226"/>
    </row>
    <row r="685" spans="8:8" ht="13" hidden="1">
      <c r="H685" s="226"/>
    </row>
    <row r="686" spans="8:8" ht="13" hidden="1">
      <c r="H686" s="226"/>
    </row>
    <row r="687" spans="8:8" ht="13" hidden="1">
      <c r="H687" s="226"/>
    </row>
    <row r="688" spans="8:8" ht="13" hidden="1">
      <c r="H688" s="226"/>
    </row>
    <row r="689" spans="8:8" ht="13" hidden="1">
      <c r="H689" s="226"/>
    </row>
    <row r="690" spans="8:8" ht="13" hidden="1">
      <c r="H690" s="226"/>
    </row>
    <row r="691" spans="8:8" ht="13" hidden="1">
      <c r="H691" s="226"/>
    </row>
    <row r="692" spans="8:8" ht="13" hidden="1">
      <c r="H692" s="226"/>
    </row>
    <row r="693" spans="8:8" ht="13" hidden="1">
      <c r="H693" s="226"/>
    </row>
    <row r="694" spans="8:8" ht="13" hidden="1">
      <c r="H694" s="226"/>
    </row>
    <row r="695" spans="8:8" ht="13" hidden="1">
      <c r="H695" s="226"/>
    </row>
    <row r="696" spans="8:8" ht="13" hidden="1">
      <c r="H696" s="226"/>
    </row>
    <row r="697" spans="8:8" ht="13" hidden="1">
      <c r="H697" s="226"/>
    </row>
    <row r="698" spans="8:8" ht="13" hidden="1">
      <c r="H698" s="226"/>
    </row>
    <row r="699" spans="8:8" ht="13" hidden="1">
      <c r="H699" s="226"/>
    </row>
    <row r="700" spans="8:8" ht="13" hidden="1">
      <c r="H700" s="226"/>
    </row>
    <row r="701" spans="8:8" ht="13" hidden="1">
      <c r="H701" s="226"/>
    </row>
    <row r="702" spans="8:8" ht="13" hidden="1">
      <c r="H702" s="226"/>
    </row>
    <row r="703" spans="8:8" ht="13" hidden="1">
      <c r="H703" s="226"/>
    </row>
    <row r="704" spans="8:8" ht="13" hidden="1">
      <c r="H704" s="226"/>
    </row>
    <row r="705" spans="8:8" ht="13" hidden="1">
      <c r="H705" s="226"/>
    </row>
    <row r="706" spans="8:8" ht="13" hidden="1">
      <c r="H706" s="226"/>
    </row>
    <row r="707" spans="8:8" ht="13" hidden="1">
      <c r="H707" s="226"/>
    </row>
    <row r="708" spans="8:8" ht="13" hidden="1">
      <c r="H708" s="226"/>
    </row>
    <row r="709" spans="8:8" ht="13" hidden="1">
      <c r="H709" s="226"/>
    </row>
    <row r="710" spans="8:8" ht="13" hidden="1">
      <c r="H710" s="226"/>
    </row>
    <row r="711" spans="8:8" ht="13" hidden="1">
      <c r="H711" s="226"/>
    </row>
    <row r="712" spans="8:8" ht="13" hidden="1">
      <c r="H712" s="226"/>
    </row>
    <row r="713" spans="8:8" ht="13" hidden="1">
      <c r="H713" s="226"/>
    </row>
    <row r="714" spans="8:8" ht="13" hidden="1">
      <c r="H714" s="226"/>
    </row>
    <row r="715" spans="8:8" ht="13" hidden="1">
      <c r="H715" s="226"/>
    </row>
    <row r="716" spans="8:8" ht="13" hidden="1">
      <c r="H716" s="226"/>
    </row>
    <row r="717" spans="8:8" ht="13" hidden="1">
      <c r="H717" s="226"/>
    </row>
    <row r="718" spans="8:8" ht="13" hidden="1">
      <c r="H718" s="226"/>
    </row>
    <row r="719" spans="8:8" ht="13" hidden="1">
      <c r="H719" s="226"/>
    </row>
    <row r="720" spans="8:8" ht="13" hidden="1">
      <c r="H720" s="226"/>
    </row>
    <row r="721" spans="8:8" ht="13" hidden="1">
      <c r="H721" s="226"/>
    </row>
    <row r="722" spans="8:8" ht="13" hidden="1">
      <c r="H722" s="226"/>
    </row>
    <row r="723" spans="8:8" ht="13" hidden="1">
      <c r="H723" s="226"/>
    </row>
    <row r="724" spans="8:8" ht="13" hidden="1">
      <c r="H724" s="226"/>
    </row>
    <row r="725" spans="8:8" ht="13" hidden="1">
      <c r="H725" s="226"/>
    </row>
    <row r="726" spans="8:8" ht="13" hidden="1">
      <c r="H726" s="226"/>
    </row>
    <row r="727" spans="8:8" ht="13" hidden="1">
      <c r="H727" s="226"/>
    </row>
    <row r="728" spans="8:8" ht="13" hidden="1">
      <c r="H728" s="226"/>
    </row>
    <row r="729" spans="8:8" ht="13" hidden="1">
      <c r="H729" s="226"/>
    </row>
    <row r="730" spans="8:8" ht="13" hidden="1">
      <c r="H730" s="226"/>
    </row>
    <row r="731" spans="8:8" ht="13" hidden="1">
      <c r="H731" s="226"/>
    </row>
    <row r="732" spans="8:8" ht="13" hidden="1">
      <c r="H732" s="226"/>
    </row>
    <row r="733" spans="8:8" ht="13" hidden="1">
      <c r="H733" s="226"/>
    </row>
    <row r="734" spans="8:8" ht="13" hidden="1">
      <c r="H734" s="226"/>
    </row>
    <row r="735" spans="8:8" ht="13" hidden="1">
      <c r="H735" s="226"/>
    </row>
    <row r="736" spans="8:8" ht="13" hidden="1">
      <c r="H736" s="226"/>
    </row>
    <row r="737" spans="8:8" ht="13" hidden="1">
      <c r="H737" s="226"/>
    </row>
    <row r="738" spans="8:8" ht="13" hidden="1">
      <c r="H738" s="226"/>
    </row>
    <row r="739" spans="8:8" ht="13" hidden="1">
      <c r="H739" s="226"/>
    </row>
    <row r="740" spans="8:8" ht="13" hidden="1">
      <c r="H740" s="226"/>
    </row>
    <row r="741" spans="8:8" ht="13" hidden="1">
      <c r="H741" s="226"/>
    </row>
    <row r="742" spans="8:8" ht="13" hidden="1">
      <c r="H742" s="226"/>
    </row>
    <row r="743" spans="8:8" ht="13" hidden="1">
      <c r="H743" s="226"/>
    </row>
    <row r="744" spans="8:8" ht="13" hidden="1">
      <c r="H744" s="226"/>
    </row>
    <row r="745" spans="8:8" ht="13" hidden="1">
      <c r="H745" s="226"/>
    </row>
    <row r="746" spans="8:8" ht="13" hidden="1">
      <c r="H746" s="226"/>
    </row>
    <row r="747" spans="8:8" ht="13" hidden="1">
      <c r="H747" s="226"/>
    </row>
    <row r="748" spans="8:8" ht="13" hidden="1">
      <c r="H748" s="226"/>
    </row>
    <row r="749" spans="8:8" ht="13" hidden="1">
      <c r="H749" s="226"/>
    </row>
    <row r="750" spans="8:8" ht="13" hidden="1">
      <c r="H750" s="226"/>
    </row>
    <row r="751" spans="8:8" ht="13" hidden="1">
      <c r="H751" s="226"/>
    </row>
    <row r="752" spans="8:8" ht="13" hidden="1">
      <c r="H752" s="226"/>
    </row>
    <row r="753" spans="8:8" ht="13" hidden="1">
      <c r="H753" s="226"/>
    </row>
    <row r="754" spans="8:8" ht="13" hidden="1">
      <c r="H754" s="226"/>
    </row>
    <row r="755" spans="8:8" ht="13" hidden="1">
      <c r="H755" s="226"/>
    </row>
    <row r="756" spans="8:8" ht="13" hidden="1">
      <c r="H756" s="226"/>
    </row>
    <row r="757" spans="8:8" ht="13" hidden="1">
      <c r="H757" s="226"/>
    </row>
    <row r="758" spans="8:8" ht="13" hidden="1">
      <c r="H758" s="226"/>
    </row>
    <row r="759" spans="8:8" ht="13" hidden="1">
      <c r="H759" s="226"/>
    </row>
    <row r="760" spans="8:8" ht="13" hidden="1">
      <c r="H760" s="226"/>
    </row>
    <row r="761" spans="8:8" ht="13" hidden="1">
      <c r="H761" s="226"/>
    </row>
    <row r="762" spans="8:8" ht="13" hidden="1">
      <c r="H762" s="226"/>
    </row>
    <row r="763" spans="8:8" ht="13" hidden="1">
      <c r="H763" s="226"/>
    </row>
    <row r="764" spans="8:8" ht="13" hidden="1">
      <c r="H764" s="226"/>
    </row>
    <row r="765" spans="8:8" ht="13" hidden="1">
      <c r="H765" s="226"/>
    </row>
    <row r="766" spans="8:8" ht="13" hidden="1">
      <c r="H766" s="226"/>
    </row>
    <row r="767" spans="8:8" ht="13" hidden="1">
      <c r="H767" s="226"/>
    </row>
    <row r="768" spans="8:8" ht="13" hidden="1">
      <c r="H768" s="226"/>
    </row>
    <row r="769" spans="8:8" ht="13" hidden="1">
      <c r="H769" s="226"/>
    </row>
    <row r="770" spans="8:8" ht="13" hidden="1">
      <c r="H770" s="226"/>
    </row>
    <row r="771" spans="8:8" ht="13" hidden="1">
      <c r="H771" s="226"/>
    </row>
    <row r="772" spans="8:8" ht="13" hidden="1">
      <c r="H772" s="226"/>
    </row>
    <row r="773" spans="8:8" ht="13" hidden="1">
      <c r="H773" s="226"/>
    </row>
    <row r="774" spans="8:8" ht="13" hidden="1">
      <c r="H774" s="226"/>
    </row>
    <row r="775" spans="8:8" ht="13" hidden="1">
      <c r="H775" s="226"/>
    </row>
    <row r="776" spans="8:8" ht="13" hidden="1">
      <c r="H776" s="226"/>
    </row>
    <row r="777" spans="8:8" ht="13" hidden="1">
      <c r="H777" s="226"/>
    </row>
    <row r="778" spans="8:8" ht="13" hidden="1">
      <c r="H778" s="226"/>
    </row>
    <row r="779" spans="8:8" ht="13" hidden="1">
      <c r="H779" s="226"/>
    </row>
    <row r="780" spans="8:8" ht="13" hidden="1">
      <c r="H780" s="226"/>
    </row>
    <row r="781" spans="8:8" ht="13" hidden="1">
      <c r="H781" s="226"/>
    </row>
    <row r="782" spans="8:8" ht="13" hidden="1">
      <c r="H782" s="226"/>
    </row>
    <row r="783" spans="8:8" ht="13" hidden="1">
      <c r="H783" s="226"/>
    </row>
    <row r="784" spans="8:8" ht="13" hidden="1">
      <c r="H784" s="226"/>
    </row>
    <row r="785" spans="8:8" ht="13" hidden="1">
      <c r="H785" s="226"/>
    </row>
    <row r="786" spans="8:8" ht="13" hidden="1">
      <c r="H786" s="226"/>
    </row>
    <row r="787" spans="8:8" ht="13" hidden="1">
      <c r="H787" s="226"/>
    </row>
    <row r="788" spans="8:8" ht="13" hidden="1">
      <c r="H788" s="226"/>
    </row>
    <row r="789" spans="8:8" ht="13" hidden="1">
      <c r="H789" s="226"/>
    </row>
    <row r="790" spans="8:8" ht="13" hidden="1">
      <c r="H790" s="226"/>
    </row>
    <row r="791" spans="8:8" ht="13" hidden="1">
      <c r="H791" s="226"/>
    </row>
    <row r="792" spans="8:8" ht="13" hidden="1">
      <c r="H792" s="226"/>
    </row>
    <row r="793" spans="8:8" ht="13" hidden="1">
      <c r="H793" s="226"/>
    </row>
    <row r="794" spans="8:8" ht="13" hidden="1">
      <c r="H794" s="226"/>
    </row>
    <row r="795" spans="8:8" ht="13" hidden="1">
      <c r="H795" s="226"/>
    </row>
    <row r="796" spans="8:8" ht="13" hidden="1">
      <c r="H796" s="226"/>
    </row>
    <row r="797" spans="8:8" ht="13" hidden="1">
      <c r="H797" s="226"/>
    </row>
    <row r="798" spans="8:8" ht="13" hidden="1">
      <c r="H798" s="226"/>
    </row>
    <row r="799" spans="8:8" ht="13" hidden="1">
      <c r="H799" s="226"/>
    </row>
    <row r="800" spans="8:8" ht="13" hidden="1">
      <c r="H800" s="226"/>
    </row>
    <row r="801" spans="8:8" ht="13" hidden="1">
      <c r="H801" s="226"/>
    </row>
    <row r="802" spans="8:8" ht="13" hidden="1">
      <c r="H802" s="226"/>
    </row>
    <row r="803" spans="8:8" ht="13" hidden="1">
      <c r="H803" s="226"/>
    </row>
    <row r="804" spans="8:8" ht="13" hidden="1">
      <c r="H804" s="226"/>
    </row>
    <row r="805" spans="8:8" ht="13" hidden="1">
      <c r="H805" s="226"/>
    </row>
    <row r="806" spans="8:8" ht="13" hidden="1">
      <c r="H806" s="226"/>
    </row>
    <row r="807" spans="8:8" ht="13" hidden="1">
      <c r="H807" s="226"/>
    </row>
    <row r="808" spans="8:8" ht="13" hidden="1">
      <c r="H808" s="226"/>
    </row>
    <row r="809" spans="8:8" ht="13" hidden="1">
      <c r="H809" s="226"/>
    </row>
    <row r="810" spans="8:8" ht="13" hidden="1">
      <c r="H810" s="226"/>
    </row>
    <row r="811" spans="8:8" ht="13" hidden="1">
      <c r="H811" s="226"/>
    </row>
    <row r="812" spans="8:8" ht="13" hidden="1">
      <c r="H812" s="226"/>
    </row>
    <row r="813" spans="8:8" ht="13" hidden="1">
      <c r="H813" s="226"/>
    </row>
    <row r="814" spans="8:8" ht="13" hidden="1">
      <c r="H814" s="226"/>
    </row>
    <row r="815" spans="8:8" ht="13" hidden="1">
      <c r="H815" s="226"/>
    </row>
    <row r="816" spans="8:8" ht="13" hidden="1">
      <c r="H816" s="226"/>
    </row>
    <row r="817" spans="8:8" ht="13" hidden="1">
      <c r="H817" s="226"/>
    </row>
    <row r="818" spans="8:8" ht="13" hidden="1">
      <c r="H818" s="226"/>
    </row>
    <row r="819" spans="8:8" ht="13" hidden="1">
      <c r="H819" s="226"/>
    </row>
    <row r="820" spans="8:8" ht="13" hidden="1">
      <c r="H820" s="226"/>
    </row>
    <row r="821" spans="8:8" ht="13" hidden="1">
      <c r="H821" s="226"/>
    </row>
    <row r="822" spans="8:8" ht="13" hidden="1">
      <c r="H822" s="226"/>
    </row>
    <row r="823" spans="8:8" ht="13" hidden="1">
      <c r="H823" s="226"/>
    </row>
    <row r="824" spans="8:8" ht="13" hidden="1">
      <c r="H824" s="226"/>
    </row>
    <row r="825" spans="8:8" ht="13" hidden="1">
      <c r="H825" s="226"/>
    </row>
    <row r="826" spans="8:8" ht="13" hidden="1">
      <c r="H826" s="226"/>
    </row>
    <row r="827" spans="8:8" ht="13" hidden="1">
      <c r="H827" s="226"/>
    </row>
    <row r="828" spans="8:8" ht="13" hidden="1">
      <c r="H828" s="226"/>
    </row>
    <row r="829" spans="8:8" ht="13" hidden="1">
      <c r="H829" s="226"/>
    </row>
    <row r="830" spans="8:8" ht="13" hidden="1">
      <c r="H830" s="226"/>
    </row>
    <row r="831" spans="8:8" ht="13" hidden="1">
      <c r="H831" s="226"/>
    </row>
    <row r="832" spans="8:8" ht="13" hidden="1">
      <c r="H832" s="226"/>
    </row>
    <row r="833" spans="8:8" ht="13" hidden="1">
      <c r="H833" s="226"/>
    </row>
    <row r="834" spans="8:8" ht="13" hidden="1">
      <c r="H834" s="226"/>
    </row>
    <row r="835" spans="8:8" ht="13" hidden="1">
      <c r="H835" s="226"/>
    </row>
    <row r="836" spans="8:8" ht="13" hidden="1">
      <c r="H836" s="226"/>
    </row>
    <row r="837" spans="8:8" ht="13" hidden="1">
      <c r="H837" s="226"/>
    </row>
    <row r="838" spans="8:8" ht="13" hidden="1">
      <c r="H838" s="226"/>
    </row>
    <row r="839" spans="8:8" ht="13" hidden="1">
      <c r="H839" s="226"/>
    </row>
    <row r="840" spans="8:8" ht="13" hidden="1">
      <c r="H840" s="226"/>
    </row>
    <row r="841" spans="8:8" ht="13" hidden="1">
      <c r="H841" s="226"/>
    </row>
    <row r="842" spans="8:8" ht="13" hidden="1">
      <c r="H842" s="226"/>
    </row>
    <row r="843" spans="8:8" ht="13" hidden="1">
      <c r="H843" s="226"/>
    </row>
    <row r="844" spans="8:8" ht="13" hidden="1">
      <c r="H844" s="226"/>
    </row>
    <row r="845" spans="8:8" ht="13" hidden="1">
      <c r="H845" s="226"/>
    </row>
    <row r="846" spans="8:8" ht="13" hidden="1">
      <c r="H846" s="226"/>
    </row>
    <row r="847" spans="8:8" ht="13" hidden="1">
      <c r="H847" s="226"/>
    </row>
    <row r="848" spans="8:8" ht="13" hidden="1">
      <c r="H848" s="226"/>
    </row>
    <row r="849" spans="8:8" ht="13" hidden="1">
      <c r="H849" s="226"/>
    </row>
    <row r="850" spans="8:8" ht="13" hidden="1">
      <c r="H850" s="226"/>
    </row>
    <row r="851" spans="8:8" ht="13" hidden="1">
      <c r="H851" s="226"/>
    </row>
    <row r="852" spans="8:8" ht="13" hidden="1">
      <c r="H852" s="226"/>
    </row>
    <row r="853" spans="8:8" ht="13" hidden="1">
      <c r="H853" s="226"/>
    </row>
    <row r="854" spans="8:8" ht="13" hidden="1">
      <c r="H854" s="226"/>
    </row>
    <row r="855" spans="8:8" ht="13" hidden="1">
      <c r="H855" s="226"/>
    </row>
    <row r="856" spans="8:8" ht="13" hidden="1">
      <c r="H856" s="226"/>
    </row>
    <row r="857" spans="8:8" ht="13" hidden="1">
      <c r="H857" s="226"/>
    </row>
    <row r="858" spans="8:8" ht="13" hidden="1">
      <c r="H858" s="226"/>
    </row>
    <row r="859" spans="8:8" ht="13" hidden="1">
      <c r="H859" s="226"/>
    </row>
    <row r="860" spans="8:8" ht="13" hidden="1">
      <c r="H860" s="226"/>
    </row>
    <row r="861" spans="8:8" ht="13" hidden="1">
      <c r="H861" s="226"/>
    </row>
    <row r="862" spans="8:8" ht="13" hidden="1">
      <c r="H862" s="226"/>
    </row>
    <row r="863" spans="8:8" ht="13" hidden="1">
      <c r="H863" s="226"/>
    </row>
    <row r="864" spans="8:8" ht="13" hidden="1">
      <c r="H864" s="226"/>
    </row>
    <row r="865" spans="8:8" ht="13" hidden="1">
      <c r="H865" s="226"/>
    </row>
    <row r="866" spans="8:8" ht="13" hidden="1">
      <c r="H866" s="226"/>
    </row>
    <row r="867" spans="8:8" ht="13" hidden="1">
      <c r="H867" s="226"/>
    </row>
    <row r="868" spans="8:8" ht="13" hidden="1">
      <c r="H868" s="226"/>
    </row>
    <row r="869" spans="8:8" ht="13" hidden="1">
      <c r="H869" s="226"/>
    </row>
    <row r="870" spans="8:8" ht="13" hidden="1">
      <c r="H870" s="226"/>
    </row>
    <row r="871" spans="8:8" ht="13" hidden="1">
      <c r="H871" s="226"/>
    </row>
    <row r="872" spans="8:8" ht="13" hidden="1">
      <c r="H872" s="226"/>
    </row>
    <row r="873" spans="8:8" ht="13" hidden="1">
      <c r="H873" s="226"/>
    </row>
    <row r="874" spans="8:8" ht="13" hidden="1">
      <c r="H874" s="226"/>
    </row>
    <row r="875" spans="8:8" ht="13" hidden="1">
      <c r="H875" s="226"/>
    </row>
    <row r="876" spans="8:8" ht="13" hidden="1">
      <c r="H876" s="226"/>
    </row>
    <row r="877" spans="8:8" ht="13" hidden="1">
      <c r="H877" s="226"/>
    </row>
    <row r="878" spans="8:8" ht="13" hidden="1">
      <c r="H878" s="226"/>
    </row>
    <row r="879" spans="8:8" ht="13" hidden="1">
      <c r="H879" s="226"/>
    </row>
    <row r="880" spans="8:8" ht="13" hidden="1">
      <c r="H880" s="226"/>
    </row>
    <row r="881" spans="8:8" ht="13" hidden="1">
      <c r="H881" s="226"/>
    </row>
    <row r="882" spans="8:8" ht="13" hidden="1">
      <c r="H882" s="226"/>
    </row>
    <row r="883" spans="8:8" ht="13" hidden="1">
      <c r="H883" s="226"/>
    </row>
    <row r="884" spans="8:8" ht="13" hidden="1">
      <c r="H884" s="226"/>
    </row>
    <row r="885" spans="8:8" ht="13" hidden="1">
      <c r="H885" s="226"/>
    </row>
    <row r="886" spans="8:8" ht="13" hidden="1">
      <c r="H886" s="226"/>
    </row>
    <row r="887" spans="8:8" ht="13" hidden="1">
      <c r="H887" s="226"/>
    </row>
    <row r="888" spans="8:8" ht="13" hidden="1">
      <c r="H888" s="226"/>
    </row>
    <row r="889" spans="8:8" ht="13" hidden="1">
      <c r="H889" s="226"/>
    </row>
    <row r="890" spans="8:8" ht="13" hidden="1">
      <c r="H890" s="226"/>
    </row>
    <row r="891" spans="8:8" ht="13" hidden="1">
      <c r="H891" s="226"/>
    </row>
    <row r="892" spans="8:8" ht="13" hidden="1">
      <c r="H892" s="226"/>
    </row>
    <row r="893" spans="8:8" ht="13" hidden="1">
      <c r="H893" s="226"/>
    </row>
    <row r="894" spans="8:8" ht="13" hidden="1">
      <c r="H894" s="226"/>
    </row>
    <row r="895" spans="8:8" ht="13" hidden="1">
      <c r="H895" s="226"/>
    </row>
    <row r="896" spans="8:8" ht="13" hidden="1">
      <c r="H896" s="226"/>
    </row>
    <row r="897" spans="8:8" ht="13" hidden="1">
      <c r="H897" s="226"/>
    </row>
    <row r="898" spans="8:8" ht="13" hidden="1">
      <c r="H898" s="226"/>
    </row>
    <row r="899" spans="8:8" ht="13" hidden="1">
      <c r="H899" s="226"/>
    </row>
    <row r="900" spans="8:8" ht="13" hidden="1">
      <c r="H900" s="226"/>
    </row>
    <row r="901" spans="8:8" ht="13" hidden="1">
      <c r="H901" s="226"/>
    </row>
    <row r="902" spans="8:8" ht="13" hidden="1">
      <c r="H902" s="226"/>
    </row>
    <row r="903" spans="8:8" ht="13" hidden="1">
      <c r="H903" s="226"/>
    </row>
    <row r="904" spans="8:8" ht="13" hidden="1">
      <c r="H904" s="226"/>
    </row>
    <row r="905" spans="8:8" ht="13" hidden="1">
      <c r="H905" s="226"/>
    </row>
    <row r="906" spans="8:8" ht="13" hidden="1">
      <c r="H906" s="226"/>
    </row>
    <row r="907" spans="8:8" ht="13" hidden="1">
      <c r="H907" s="226"/>
    </row>
    <row r="908" spans="8:8" ht="13" hidden="1">
      <c r="H908" s="226"/>
    </row>
    <row r="909" spans="8:8" ht="13" hidden="1">
      <c r="H909" s="226"/>
    </row>
    <row r="910" spans="8:8" ht="13" hidden="1">
      <c r="H910" s="226"/>
    </row>
    <row r="911" spans="8:8" ht="13" hidden="1">
      <c r="H911" s="226"/>
    </row>
    <row r="912" spans="8:8" ht="13" hidden="1">
      <c r="H912" s="226"/>
    </row>
    <row r="913" spans="8:8" ht="13" hidden="1">
      <c r="H913" s="226"/>
    </row>
    <row r="914" spans="8:8" ht="13" hidden="1">
      <c r="H914" s="226"/>
    </row>
    <row r="915" spans="8:8" ht="13" hidden="1">
      <c r="H915" s="226"/>
    </row>
    <row r="916" spans="8:8" ht="13" hidden="1">
      <c r="H916" s="226"/>
    </row>
    <row r="917" spans="8:8" ht="13" hidden="1">
      <c r="H917" s="226"/>
    </row>
    <row r="918" spans="8:8" ht="13" hidden="1">
      <c r="H918" s="226"/>
    </row>
    <row r="919" spans="8:8" ht="13" hidden="1">
      <c r="H919" s="226"/>
    </row>
    <row r="920" spans="8:8" ht="13" hidden="1">
      <c r="H920" s="226"/>
    </row>
    <row r="921" spans="8:8" ht="13" hidden="1">
      <c r="H921" s="226"/>
    </row>
    <row r="922" spans="8:8" ht="13" hidden="1">
      <c r="H922" s="226"/>
    </row>
    <row r="923" spans="8:8" ht="13" hidden="1">
      <c r="H923" s="226"/>
    </row>
    <row r="924" spans="8:8" ht="13" hidden="1">
      <c r="H924" s="226"/>
    </row>
    <row r="925" spans="8:8" ht="13" hidden="1">
      <c r="H925" s="226"/>
    </row>
    <row r="926" spans="8:8" ht="13" hidden="1">
      <c r="H926" s="226"/>
    </row>
    <row r="927" spans="8:8" ht="13" hidden="1">
      <c r="H927" s="226"/>
    </row>
    <row r="928" spans="8:8" ht="13" hidden="1">
      <c r="H928" s="226"/>
    </row>
    <row r="929" spans="8:8" ht="13" hidden="1">
      <c r="H929" s="226"/>
    </row>
    <row r="930" spans="8:8" ht="13" hidden="1">
      <c r="H930" s="226"/>
    </row>
    <row r="931" spans="8:8" ht="13" hidden="1">
      <c r="H931" s="226"/>
    </row>
    <row r="932" spans="8:8" ht="13" hidden="1">
      <c r="H932" s="226"/>
    </row>
    <row r="933" spans="8:8" ht="13" hidden="1">
      <c r="H933" s="226"/>
    </row>
    <row r="934" spans="8:8" ht="13" hidden="1">
      <c r="H934" s="226"/>
    </row>
    <row r="935" spans="8:8" ht="13" hidden="1">
      <c r="H935" s="226"/>
    </row>
    <row r="936" spans="8:8" ht="13" hidden="1">
      <c r="H936" s="226"/>
    </row>
    <row r="937" spans="8:8" ht="13" hidden="1">
      <c r="H937" s="226"/>
    </row>
    <row r="938" spans="8:8" ht="13" hidden="1">
      <c r="H938" s="226"/>
    </row>
    <row r="939" spans="8:8" ht="13" hidden="1">
      <c r="H939" s="226"/>
    </row>
    <row r="940" spans="8:8" ht="13" hidden="1">
      <c r="H940" s="226"/>
    </row>
    <row r="941" spans="8:8" ht="13" hidden="1">
      <c r="H941" s="226"/>
    </row>
    <row r="942" spans="8:8" ht="13" hidden="1">
      <c r="H942" s="226"/>
    </row>
    <row r="943" spans="8:8" ht="13" hidden="1">
      <c r="H943" s="226"/>
    </row>
    <row r="944" spans="8:8" ht="13" hidden="1">
      <c r="H944" s="226"/>
    </row>
    <row r="945" spans="8:8" ht="13" hidden="1">
      <c r="H945" s="226"/>
    </row>
    <row r="946" spans="8:8" ht="13" hidden="1">
      <c r="H946" s="226"/>
    </row>
    <row r="947" spans="8:8" ht="13" hidden="1">
      <c r="H947" s="226"/>
    </row>
    <row r="948" spans="8:8" ht="13" hidden="1">
      <c r="H948" s="226"/>
    </row>
    <row r="949" spans="8:8" ht="13" hidden="1">
      <c r="H949" s="226"/>
    </row>
    <row r="950" spans="8:8" ht="13" hidden="1">
      <c r="H950" s="226"/>
    </row>
    <row r="951" spans="8:8" ht="13" hidden="1">
      <c r="H951" s="226"/>
    </row>
    <row r="952" spans="8:8" ht="13" hidden="1">
      <c r="H952" s="226"/>
    </row>
    <row r="953" spans="8:8" ht="13" hidden="1">
      <c r="H953" s="226"/>
    </row>
    <row r="954" spans="8:8" ht="13" hidden="1">
      <c r="H954" s="226"/>
    </row>
    <row r="955" spans="8:8" ht="13" hidden="1">
      <c r="H955" s="226"/>
    </row>
    <row r="956" spans="8:8" ht="13" hidden="1">
      <c r="H956" s="226"/>
    </row>
    <row r="957" spans="8:8" ht="13" hidden="1">
      <c r="H957" s="226"/>
    </row>
    <row r="958" spans="8:8" ht="13" hidden="1">
      <c r="H958" s="226"/>
    </row>
    <row r="959" spans="8:8" ht="13" hidden="1">
      <c r="H959" s="226"/>
    </row>
    <row r="960" spans="8:8" ht="13" hidden="1">
      <c r="H960" s="226"/>
    </row>
    <row r="961" spans="8:8" ht="13" hidden="1">
      <c r="H961" s="226"/>
    </row>
    <row r="962" spans="8:8" ht="13" hidden="1">
      <c r="H962" s="226"/>
    </row>
    <row r="963" spans="8:8" ht="13" hidden="1">
      <c r="H963" s="226"/>
    </row>
    <row r="964" spans="8:8" ht="13" hidden="1">
      <c r="H964" s="226"/>
    </row>
    <row r="965" spans="8:8" ht="13" hidden="1">
      <c r="H965" s="226"/>
    </row>
    <row r="966" spans="8:8" ht="13" hidden="1">
      <c r="H966" s="226"/>
    </row>
    <row r="967" spans="8:8" ht="13" hidden="1">
      <c r="H967" s="226"/>
    </row>
    <row r="968" spans="8:8" ht="13" hidden="1">
      <c r="H968" s="226"/>
    </row>
    <row r="969" spans="8:8" ht="13" hidden="1">
      <c r="H969" s="226"/>
    </row>
    <row r="970" spans="8:8" ht="13" hidden="1">
      <c r="H970" s="226"/>
    </row>
    <row r="971" spans="8:8" ht="13" hidden="1">
      <c r="H971" s="226"/>
    </row>
    <row r="972" spans="8:8" ht="13" hidden="1">
      <c r="H972" s="226"/>
    </row>
    <row r="973" spans="8:8" ht="13" hidden="1">
      <c r="H973" s="226"/>
    </row>
    <row r="974" spans="8:8" ht="13" hidden="1">
      <c r="H974" s="226"/>
    </row>
    <row r="975" spans="8:8" ht="13" hidden="1">
      <c r="H975" s="226"/>
    </row>
    <row r="976" spans="8:8" ht="13" hidden="1">
      <c r="H976" s="226"/>
    </row>
    <row r="977" spans="8:8" ht="13" hidden="1">
      <c r="H977" s="226"/>
    </row>
    <row r="978" spans="8:8" ht="13" hidden="1">
      <c r="H978" s="226"/>
    </row>
    <row r="979" spans="8:8" ht="13" hidden="1">
      <c r="H979" s="226"/>
    </row>
    <row r="980" spans="8:8" ht="13" hidden="1">
      <c r="H980" s="226"/>
    </row>
    <row r="981" spans="8:8" ht="13" hidden="1">
      <c r="H981" s="226"/>
    </row>
    <row r="982" spans="8:8" ht="13" hidden="1">
      <c r="H982" s="226"/>
    </row>
    <row r="983" spans="8:8" ht="13" hidden="1">
      <c r="H983" s="226"/>
    </row>
    <row r="984" spans="8:8" ht="13" hidden="1">
      <c r="H984" s="226"/>
    </row>
    <row r="985" spans="8:8" ht="13" hidden="1">
      <c r="H985" s="226"/>
    </row>
    <row r="986" spans="8:8" ht="13" hidden="1">
      <c r="H986" s="226"/>
    </row>
    <row r="987" spans="8:8" ht="13" hidden="1">
      <c r="H987" s="226"/>
    </row>
    <row r="988" spans="8:8" ht="13" hidden="1">
      <c r="H988" s="226"/>
    </row>
    <row r="989" spans="8:8" ht="13" hidden="1">
      <c r="H989" s="226"/>
    </row>
    <row r="990" spans="8:8" ht="13" hidden="1">
      <c r="H990" s="226"/>
    </row>
    <row r="991" spans="8:8" ht="13" hidden="1">
      <c r="H991" s="226"/>
    </row>
    <row r="992" spans="8:8" ht="13" hidden="1">
      <c r="H992" s="226"/>
    </row>
    <row r="993" spans="8:8" ht="13" hidden="1">
      <c r="H993" s="226"/>
    </row>
    <row r="994" spans="8:8" ht="13" hidden="1">
      <c r="H994" s="226"/>
    </row>
    <row r="995" spans="8:8" ht="13" hidden="1">
      <c r="H995" s="226"/>
    </row>
    <row r="996" spans="8:8" ht="13" hidden="1">
      <c r="H996" s="226"/>
    </row>
    <row r="997" spans="8:8" ht="13" hidden="1">
      <c r="H997" s="226"/>
    </row>
    <row r="998" spans="8:8" ht="13" hidden="1">
      <c r="H998" s="226"/>
    </row>
    <row r="999" spans="8:8" ht="13" hidden="1">
      <c r="H999" s="226"/>
    </row>
    <row r="1000" spans="8:8" ht="13" hidden="1">
      <c r="H1000" s="226"/>
    </row>
    <row r="1001" spans="8:8" ht="13" hidden="1">
      <c r="H1001" s="226"/>
    </row>
    <row r="1002" spans="8:8" ht="13" hidden="1">
      <c r="H1002" s="226"/>
    </row>
    <row r="1003" spans="8:8" ht="13" hidden="1">
      <c r="H1003" s="226"/>
    </row>
    <row r="1004" spans="8:8" ht="13" hidden="1">
      <c r="H1004" s="226"/>
    </row>
    <row r="1005" spans="8:8" ht="13" hidden="1">
      <c r="H1005" s="226"/>
    </row>
    <row r="1006" spans="8:8" ht="13" hidden="1">
      <c r="H1006" s="226"/>
    </row>
    <row r="1007" spans="8:8" ht="13" hidden="1">
      <c r="H1007" s="226"/>
    </row>
    <row r="1008" spans="8:8" ht="13" hidden="1">
      <c r="H1008" s="226"/>
    </row>
    <row r="1009" spans="8:8" ht="13" hidden="1">
      <c r="H1009" s="226"/>
    </row>
    <row r="1010" spans="8:8" ht="13" hidden="1">
      <c r="H1010" s="226"/>
    </row>
    <row r="1011" spans="8:8" ht="13" hidden="1">
      <c r="H1011" s="226"/>
    </row>
    <row r="1012" spans="8:8" ht="13" hidden="1">
      <c r="H1012" s="226"/>
    </row>
    <row r="1013" spans="8:8" ht="13" hidden="1">
      <c r="H1013" s="226"/>
    </row>
    <row r="1014" spans="8:8" ht="13" hidden="1">
      <c r="H1014" s="226"/>
    </row>
    <row r="1015" spans="8:8" ht="13" hidden="1">
      <c r="H1015" s="226"/>
    </row>
    <row r="1016" spans="8:8" ht="13" hidden="1">
      <c r="H1016" s="226"/>
    </row>
    <row r="1017" spans="8:8" ht="13" hidden="1">
      <c r="H1017" s="226"/>
    </row>
    <row r="1018" spans="8:8" ht="13" hidden="1">
      <c r="H1018" s="226"/>
    </row>
    <row r="1019" spans="8:8" ht="13" hidden="1">
      <c r="H1019" s="226"/>
    </row>
    <row r="1020" spans="8:8" ht="13" hidden="1">
      <c r="H1020" s="226"/>
    </row>
    <row r="1021" spans="8:8" ht="13" hidden="1">
      <c r="H1021" s="226"/>
    </row>
    <row r="1022" spans="8:8" ht="13" hidden="1">
      <c r="H1022" s="226"/>
    </row>
    <row r="1023" spans="8:8" ht="13" hidden="1">
      <c r="H1023" s="226"/>
    </row>
    <row r="1024" spans="8:8" ht="13" hidden="1">
      <c r="H1024" s="226"/>
    </row>
    <row r="1025" spans="8:8" ht="13" hidden="1">
      <c r="H1025" s="226"/>
    </row>
    <row r="1026" spans="8:8" ht="13" hidden="1">
      <c r="H1026" s="226"/>
    </row>
    <row r="1027" spans="8:8" ht="13" hidden="1">
      <c r="H1027" s="226"/>
    </row>
    <row r="1028" spans="8:8" ht="13" hidden="1">
      <c r="H1028" s="226"/>
    </row>
    <row r="1029" spans="8:8" ht="13" hidden="1">
      <c r="H1029" s="226"/>
    </row>
    <row r="1030" spans="8:8" ht="13" hidden="1">
      <c r="H1030" s="226"/>
    </row>
    <row r="1031" spans="8:8" ht="13" hidden="1">
      <c r="H1031" s="226"/>
    </row>
    <row r="1032" spans="8:8" ht="13" hidden="1">
      <c r="H1032" s="226"/>
    </row>
    <row r="1033" spans="8:8" ht="13" hidden="1">
      <c r="H1033" s="226"/>
    </row>
    <row r="1034" spans="8:8" ht="13" hidden="1">
      <c r="H1034" s="226"/>
    </row>
    <row r="1035" spans="8:8" ht="13" hidden="1">
      <c r="H1035" s="226"/>
    </row>
    <row r="1036" spans="8:8" ht="13" hidden="1">
      <c r="H1036" s="226"/>
    </row>
    <row r="1037" spans="8:8" ht="13" hidden="1">
      <c r="H1037" s="226"/>
    </row>
    <row r="1038" spans="8:8" ht="13" hidden="1">
      <c r="H1038" s="226"/>
    </row>
    <row r="1039" spans="8:8" ht="13" hidden="1">
      <c r="H1039" s="226"/>
    </row>
    <row r="1040" spans="8:8" ht="13" hidden="1">
      <c r="H1040" s="226"/>
    </row>
    <row r="1041" spans="8:8" ht="13" hidden="1">
      <c r="H1041" s="226"/>
    </row>
    <row r="1042" spans="8:8" ht="13" hidden="1">
      <c r="H1042" s="226"/>
    </row>
    <row r="1043" spans="8:8" ht="13" hidden="1">
      <c r="H1043" s="226"/>
    </row>
    <row r="1044" spans="8:8" ht="13" hidden="1">
      <c r="H1044" s="226"/>
    </row>
    <row r="1045" spans="8:8" ht="13" hidden="1">
      <c r="H1045" s="226"/>
    </row>
    <row r="1046" spans="8:8" ht="13" hidden="1">
      <c r="H1046" s="226"/>
    </row>
    <row r="1047" spans="8:8" ht="13" hidden="1">
      <c r="H1047" s="226"/>
    </row>
    <row r="1048" spans="8:8" ht="13" hidden="1">
      <c r="H1048" s="226"/>
    </row>
    <row r="1049" spans="8:8" ht="13" hidden="1">
      <c r="H1049" s="226"/>
    </row>
    <row r="1050" spans="8:8" ht="13" hidden="1">
      <c r="H1050" s="226"/>
    </row>
    <row r="1051" spans="8:8" ht="13" hidden="1">
      <c r="H1051" s="226"/>
    </row>
    <row r="1052" spans="8:8" ht="13" hidden="1">
      <c r="H1052" s="226"/>
    </row>
    <row r="1053" spans="8:8" ht="13" hidden="1">
      <c r="H1053" s="226"/>
    </row>
    <row r="1054" spans="8:8" ht="13" hidden="1">
      <c r="H1054" s="226"/>
    </row>
    <row r="1055" spans="8:8" ht="13" hidden="1">
      <c r="H1055" s="226"/>
    </row>
    <row r="1056" spans="8:8" ht="13" hidden="1">
      <c r="H1056" s="226"/>
    </row>
    <row r="1057" spans="8:8" ht="13" hidden="1">
      <c r="H1057" s="226"/>
    </row>
    <row r="1058" spans="8:8" ht="13" hidden="1">
      <c r="H1058" s="226"/>
    </row>
    <row r="1059" spans="8:8" ht="13" hidden="1">
      <c r="H1059" s="226"/>
    </row>
    <row r="1060" spans="8:8" ht="13" hidden="1">
      <c r="H1060" s="226"/>
    </row>
    <row r="1061" spans="8:8" ht="13" hidden="1">
      <c r="H1061" s="226"/>
    </row>
    <row r="1062" spans="8:8" ht="13" hidden="1">
      <c r="H1062" s="226"/>
    </row>
    <row r="1063" spans="8:8" ht="13" hidden="1">
      <c r="H1063" s="226"/>
    </row>
  </sheetData>
  <autoFilter ref="G1:G1063" xr:uid="{00000000-0009-0000-0000-000003000000}">
    <filterColumn colId="0">
      <filters>
        <filter val="AF"/>
      </filters>
    </filterColumn>
  </autoFilter>
  <customSheetViews>
    <customSheetView guid="{CF4F7ABF-A8C6-44E6-B8E3-1DEF3E38054C}" filter="1" showAutoFilter="1">
      <pageMargins left="0.7" right="0.7" top="0.75" bottom="0.75" header="0.3" footer="0.3"/>
      <autoFilter ref="G1:G1063" xr:uid="{00000000-0000-0000-0000-000000000000}">
        <filterColumn colId="0">
          <filters>
            <filter val="AF"/>
          </filters>
        </filterColumn>
      </autoFilter>
    </customSheetView>
  </customSheetViews>
  <conditionalFormatting sqref="B1 B3:B1063">
    <cfRule type="cellIs" dxfId="352" priority="1" operator="between">
      <formula>50</formula>
      <formula>200</formula>
    </cfRule>
  </conditionalFormatting>
  <conditionalFormatting sqref="B1 B3:B1063">
    <cfRule type="cellIs" dxfId="351" priority="2" operator="between">
      <formula>201</formula>
      <formula>400</formula>
    </cfRule>
  </conditionalFormatting>
  <conditionalFormatting sqref="B3:B1058">
    <cfRule type="cellIs" dxfId="350" priority="3" operator="between">
      <formula>401</formula>
      <formula>650</formula>
    </cfRule>
  </conditionalFormatting>
  <conditionalFormatting sqref="B3:B1058">
    <cfRule type="cellIs" dxfId="349" priority="4" operator="between">
      <formula>651</formula>
      <formula>900</formula>
    </cfRule>
  </conditionalFormatting>
  <conditionalFormatting sqref="B3:B1058">
    <cfRule type="cellIs" dxfId="348" priority="5" operator="greaterThan">
      <formula>900</formula>
    </cfRule>
  </conditionalFormatting>
  <conditionalFormatting sqref="P3:P1058">
    <cfRule type="containsText" dxfId="347" priority="6" operator="containsText" text="yes">
      <formula>NOT(ISERROR(SEARCH(("yes"),(P3))))</formula>
    </cfRule>
  </conditionalFormatting>
  <conditionalFormatting sqref="F1:F1063">
    <cfRule type="colorScale" priority="7">
      <colorScale>
        <cfvo type="min"/>
        <cfvo type="formula" val="150"/>
        <color rgb="FFEAD1DC"/>
        <color rgb="FFA64D79"/>
      </colorScale>
    </cfRule>
  </conditionalFormatting>
  <conditionalFormatting sqref="D3:D82">
    <cfRule type="colorScale" priority="8">
      <colorScale>
        <cfvo type="formula" val="1.2"/>
        <cfvo type="formula" val="4"/>
        <color rgb="FF0B5394"/>
        <color rgb="FFFFFFFF"/>
      </colorScale>
    </cfRule>
  </conditionalFormatting>
  <conditionalFormatting sqref="E3:E82">
    <cfRule type="colorScale" priority="9">
      <colorScale>
        <cfvo type="formula" val="65"/>
        <cfvo type="formula" val="100"/>
        <color rgb="FFD9D2E9"/>
        <color rgb="FF674EA7"/>
      </colorScale>
    </cfRule>
  </conditionalFormatting>
  <conditionalFormatting sqref="D3:D82">
    <cfRule type="containsText" dxfId="346" priority="10" operator="containsText" text="1.2">
      <formula>NOT(ISERROR(SEARCH(("1.2"),(D3))))</formula>
    </cfRule>
  </conditionalFormatting>
  <conditionalFormatting sqref="D12">
    <cfRule type="notContainsBlanks" dxfId="345" priority="11">
      <formula>LEN(TRIM(D12))&gt;0</formula>
    </cfRule>
  </conditionalFormatting>
  <conditionalFormatting sqref="D3:D82">
    <cfRule type="containsText" dxfId="344" priority="12" operator="containsText" text="1.4">
      <formula>NOT(ISERROR(SEARCH(("1.4"),(D3))))</formula>
    </cfRule>
  </conditionalFormatting>
  <conditionalFormatting sqref="D3:D101">
    <cfRule type="containsText" dxfId="343" priority="13" operator="containsText" text="1.8">
      <formula>NOT(ISERROR(SEARCH(("1.8"),(D3))))</formula>
    </cfRule>
  </conditionalFormatting>
  <conditionalFormatting sqref="A3:A100">
    <cfRule type="expression" dxfId="342" priority="14">
      <formula>(TODAY()-T3)&lt;0</formula>
    </cfRule>
  </conditionalFormatting>
  <conditionalFormatting sqref="A3:A100">
    <cfRule type="expression" dxfId="341" priority="15">
      <formula>(TODAY()-T3)&lt;180</formula>
    </cfRule>
  </conditionalFormatting>
  <conditionalFormatting sqref="G3:G102">
    <cfRule type="cellIs" dxfId="340" priority="16" operator="equal">
      <formula>"MF"</formula>
    </cfRule>
  </conditionalFormatting>
  <conditionalFormatting sqref="I3:I102">
    <cfRule type="cellIs" dxfId="339" priority="17" operator="between">
      <formula>0.24</formula>
      <formula>0.45</formula>
    </cfRule>
  </conditionalFormatting>
  <conditionalFormatting sqref="I3:I102">
    <cfRule type="cellIs" dxfId="338" priority="18" operator="between">
      <formula>0.45</formula>
      <formula>0.99</formula>
    </cfRule>
  </conditionalFormatting>
  <conditionalFormatting sqref="I3:I102">
    <cfRule type="cellIs" dxfId="337" priority="19" operator="greaterThan">
      <formula>0.99</formula>
    </cfRule>
  </conditionalFormatting>
  <dataValidations count="1">
    <dataValidation type="list" allowBlank="1" sqref="S3:S82" xr:uid="{00000000-0002-0000-0300-000000000000}">
      <formula1>"Sony,Voigtlander,Zeiss,Sigma,Samyang,Viltrox,Tokina,Tamron"</formula1>
    </dataValidation>
  </dataValidations>
  <hyperlinks>
    <hyperlink ref="K1" r:id="rId1" xr:uid="{00000000-0004-0000-0300-000000000000}"/>
    <hyperlink ref="M1" r:id="rId2" xr:uid="{00000000-0004-0000-0300-000001000000}"/>
    <hyperlink ref="N1" r:id="rId3"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outlinePr summaryBelow="0" summaryRight="0"/>
  </sheetPr>
  <dimension ref="A1:V106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9.1640625" customWidth="1"/>
    <col min="2" max="2" width="6.5" customWidth="1"/>
    <col min="3" max="3" width="8.1640625" customWidth="1"/>
    <col min="4" max="4" width="8" customWidth="1"/>
    <col min="5" max="6" width="7.33203125" customWidth="1"/>
    <col min="7" max="7" width="4" customWidth="1"/>
    <col min="8" max="8" width="7.1640625" customWidth="1"/>
    <col min="9" max="9" width="4.5" customWidth="1"/>
    <col min="10" max="10" width="7.6640625" customWidth="1"/>
    <col min="11" max="14" width="4" customWidth="1"/>
    <col min="15" max="15" width="7.5" customWidth="1"/>
    <col min="16" max="16" width="5.5" customWidth="1"/>
    <col min="17" max="17" width="5" customWidth="1"/>
    <col min="18" max="18" width="6.1640625" customWidth="1"/>
    <col min="19" max="19" width="13.33203125" customWidth="1"/>
    <col min="20" max="20" width="5.83203125" customWidth="1"/>
  </cols>
  <sheetData>
    <row r="1" spans="1:22" ht="76.5" customHeight="1">
      <c r="A1" s="1" t="s">
        <v>0</v>
      </c>
      <c r="B1" s="2" t="s">
        <v>1</v>
      </c>
      <c r="C1" s="3" t="s">
        <v>2</v>
      </c>
      <c r="D1" s="4" t="s">
        <v>3</v>
      </c>
      <c r="E1" s="5" t="s">
        <v>4</v>
      </c>
      <c r="F1" s="6" t="s">
        <v>5</v>
      </c>
      <c r="G1" s="7" t="s">
        <v>6</v>
      </c>
      <c r="H1" s="8" t="s">
        <v>7</v>
      </c>
      <c r="I1" s="3" t="s">
        <v>8</v>
      </c>
      <c r="J1" s="9" t="s">
        <v>17</v>
      </c>
      <c r="K1" s="10" t="s">
        <v>18</v>
      </c>
      <c r="L1" s="11" t="s">
        <v>19</v>
      </c>
      <c r="M1" s="10" t="s">
        <v>20</v>
      </c>
      <c r="N1" s="12" t="s">
        <v>21</v>
      </c>
      <c r="O1" s="3" t="s">
        <v>10</v>
      </c>
      <c r="P1" s="5" t="s">
        <v>11</v>
      </c>
      <c r="Q1" s="3" t="s">
        <v>12</v>
      </c>
      <c r="R1" s="3" t="s">
        <v>13</v>
      </c>
      <c r="S1" s="3" t="s">
        <v>14</v>
      </c>
      <c r="T1" s="3" t="s">
        <v>15</v>
      </c>
      <c r="U1" s="13" t="s">
        <v>22</v>
      </c>
    </row>
    <row r="2" spans="1:22" ht="18" hidden="1" customHeight="1">
      <c r="A2" s="14" t="s">
        <v>23</v>
      </c>
      <c r="B2" s="15"/>
      <c r="C2" s="15"/>
      <c r="D2" s="15"/>
      <c r="E2" s="15"/>
      <c r="F2" s="15"/>
      <c r="G2" s="16"/>
      <c r="H2" s="17"/>
      <c r="I2" s="15"/>
      <c r="J2" s="15"/>
      <c r="K2" s="15"/>
      <c r="L2" s="15"/>
      <c r="M2" s="15"/>
      <c r="N2" s="15"/>
      <c r="O2" s="15"/>
      <c r="P2" s="16"/>
      <c r="Q2" s="15"/>
      <c r="R2" s="16"/>
      <c r="S2" s="18"/>
      <c r="T2" s="16"/>
    </row>
    <row r="3" spans="1:22" ht="13" hidden="1">
      <c r="A3" s="196" t="str">
        <f>HYPERLINK("https://phillipreeve.net/blog/review-voigtlander-10mm-5-6-e-hyper-wide-heliar/","Voigtlander 10mm F5.6 Hyper Wide ")</f>
        <v xml:space="preserve">Voigtlander 10mm F5.6 Hyper Wide </v>
      </c>
      <c r="B3" s="60">
        <v>375</v>
      </c>
      <c r="C3" s="67">
        <v>10</v>
      </c>
      <c r="D3" s="64">
        <v>5.6</v>
      </c>
      <c r="E3" s="245">
        <v>67</v>
      </c>
      <c r="F3" s="322" t="s">
        <v>24</v>
      </c>
      <c r="G3" s="119" t="s">
        <v>25</v>
      </c>
      <c r="H3" s="72" t="s">
        <v>26</v>
      </c>
      <c r="I3" s="74">
        <v>6.7000000000000004E-2</v>
      </c>
      <c r="J3" s="76">
        <v>1099</v>
      </c>
      <c r="K3" s="79" t="str">
        <f>HYPERLINK("https://amzn.to/2jJ8WxH","link*")</f>
        <v>link*</v>
      </c>
      <c r="L3" s="79" t="str">
        <f>HYPERLINK("https://www.bhphotovideo.com/c/product/1219550-REG/voigtlander_ba334b_heliar_hyper_wide_10mm_f_5_6.html/BI/19619/KBID/12129/DFF/d10-v21-t1-x732282/SID/EZ","link*")</f>
        <v>link*</v>
      </c>
      <c r="M3" s="79" t="str">
        <f>HYPERLINK("https://amzn.to/2jG72hr","link*")</f>
        <v>link*</v>
      </c>
      <c r="N3" s="79"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O3" s="84">
        <v>30</v>
      </c>
      <c r="P3" s="70" t="s">
        <v>27</v>
      </c>
      <c r="Q3" s="74">
        <v>10</v>
      </c>
      <c r="R3" s="86" t="s">
        <v>28</v>
      </c>
      <c r="S3" s="74" t="s">
        <v>29</v>
      </c>
      <c r="T3" s="74" t="s">
        <v>210</v>
      </c>
      <c r="U3" s="77" t="s">
        <v>34</v>
      </c>
    </row>
    <row r="4" spans="1:22" ht="13" hidden="1">
      <c r="A4" s="323" t="s">
        <v>35</v>
      </c>
      <c r="B4" s="60">
        <v>565</v>
      </c>
      <c r="C4" s="67">
        <v>12</v>
      </c>
      <c r="D4" s="64">
        <v>4</v>
      </c>
      <c r="E4" s="65">
        <v>87</v>
      </c>
      <c r="F4" s="65">
        <v>117</v>
      </c>
      <c r="G4" s="70" t="s">
        <v>36</v>
      </c>
      <c r="H4" s="72" t="s">
        <v>26</v>
      </c>
      <c r="I4" s="74">
        <v>0.14000000000000001</v>
      </c>
      <c r="J4" s="76">
        <v>1699</v>
      </c>
      <c r="K4" s="79" t="str">
        <f>HYPERLINK("https://amzn.to/2SSzKc4","link*")</f>
        <v>link*</v>
      </c>
      <c r="L4" s="79" t="str">
        <f>HYPERLINK("https://www.bhphotovideo.com/c/product/1338517-REG/sony_sel1224g_fe_12_24mm_f_4_g.html/BI/19619/KBID/12129/DFF/d10-v21-t1-x822838/SID/EZ","link*")</f>
        <v>link*</v>
      </c>
      <c r="M4" s="79" t="str">
        <f>HYPERLINK("https://amzn.to/2Kg94zb","link*")</f>
        <v>link*</v>
      </c>
      <c r="N4" s="79"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4" s="84">
        <v>24</v>
      </c>
      <c r="P4" s="70" t="s">
        <v>27</v>
      </c>
      <c r="Q4" s="74">
        <v>7</v>
      </c>
      <c r="R4" s="86" t="s">
        <v>40</v>
      </c>
      <c r="S4" s="74" t="s">
        <v>41</v>
      </c>
      <c r="T4" s="74" t="s">
        <v>211</v>
      </c>
    </row>
    <row r="5" spans="1:22" ht="13" hidden="1">
      <c r="A5" s="196" t="str">
        <f>HYPERLINK("https://phillipreeve.net/blog/review-voigtlander-12mm-5-6-aspherical-ultra-wide-heliar/","Voigtlander 12mm F5.6 Ultra Wide-Heliar Aspherical")</f>
        <v>Voigtlander 12mm F5.6 Ultra Wide-Heliar Aspherical</v>
      </c>
      <c r="B5" s="60">
        <v>350</v>
      </c>
      <c r="C5" s="67">
        <v>12</v>
      </c>
      <c r="D5" s="64">
        <v>5.6</v>
      </c>
      <c r="E5" s="248">
        <v>67</v>
      </c>
      <c r="F5" s="324">
        <v>68</v>
      </c>
      <c r="G5" s="325" t="s">
        <v>25</v>
      </c>
      <c r="H5" s="72" t="s">
        <v>26</v>
      </c>
      <c r="I5" s="74"/>
      <c r="J5" s="76">
        <v>749</v>
      </c>
      <c r="K5" s="113"/>
      <c r="L5" s="113"/>
      <c r="M5" s="113"/>
      <c r="N5" s="79"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O5" s="84">
        <v>30</v>
      </c>
      <c r="P5" s="70" t="s">
        <v>27</v>
      </c>
      <c r="Q5" s="74">
        <v>10</v>
      </c>
      <c r="R5" s="86" t="s">
        <v>43</v>
      </c>
      <c r="S5" s="74" t="s">
        <v>29</v>
      </c>
      <c r="T5" s="74" t="s">
        <v>212</v>
      </c>
      <c r="U5" s="77" t="s">
        <v>46</v>
      </c>
    </row>
    <row r="6" spans="1:22" ht="13" hidden="1">
      <c r="A6" s="323" t="s">
        <v>45</v>
      </c>
      <c r="B6" s="60">
        <v>1170</v>
      </c>
      <c r="C6" s="67">
        <v>14</v>
      </c>
      <c r="D6" s="100">
        <v>1.8</v>
      </c>
      <c r="E6" s="101">
        <v>95</v>
      </c>
      <c r="F6" s="118">
        <v>126</v>
      </c>
      <c r="G6" s="74" t="s">
        <v>36</v>
      </c>
      <c r="H6" s="72" t="s">
        <v>26</v>
      </c>
      <c r="I6" s="74">
        <v>0.1</v>
      </c>
      <c r="J6" s="76">
        <v>1599</v>
      </c>
      <c r="K6" s="79" t="str">
        <f>HYPERLINK("https://amzn.to/2SOWTvV","link*")</f>
        <v>link*</v>
      </c>
      <c r="L6" s="79" t="str">
        <f>HYPERLINK("https://www.bhphotovideo.com/c/product/1393489-REG/sigma_14mm_f_1_8_dg_hsm.html/BI/19619/KBID/12129/DFF/d10-v21-t1-x881154/SID/EZ","link*")</f>
        <v>link*</v>
      </c>
      <c r="M6" s="79" t="str">
        <f>HYPERLINK("https://amzn.to/2ZDl4QJ","link*")</f>
        <v>link*</v>
      </c>
      <c r="N6" s="79"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O6" s="84">
        <v>27</v>
      </c>
      <c r="P6" s="70" t="s">
        <v>27</v>
      </c>
      <c r="Q6" s="74">
        <v>9</v>
      </c>
      <c r="R6" s="112">
        <v>43785</v>
      </c>
      <c r="S6" s="74" t="s">
        <v>47</v>
      </c>
      <c r="T6" s="125"/>
      <c r="U6" s="77" t="s">
        <v>48</v>
      </c>
    </row>
    <row r="7" spans="1:22" ht="13" hidden="1">
      <c r="A7" s="326" t="s">
        <v>49</v>
      </c>
      <c r="B7" s="60">
        <v>795</v>
      </c>
      <c r="C7" s="67">
        <v>14</v>
      </c>
      <c r="D7" s="64">
        <v>2.8</v>
      </c>
      <c r="E7" s="65">
        <v>85</v>
      </c>
      <c r="F7" s="118">
        <v>131</v>
      </c>
      <c r="G7" s="74" t="s">
        <v>36</v>
      </c>
      <c r="H7" s="72" t="s">
        <v>26</v>
      </c>
      <c r="I7" s="74">
        <v>0.14000000000000001</v>
      </c>
      <c r="J7" s="76">
        <v>1399</v>
      </c>
      <c r="K7" s="79" t="str">
        <f>HYPERLINK("https://amzn.to/2zt8rMC","link*")</f>
        <v>link*</v>
      </c>
      <c r="L7" s="79" t="str">
        <f>HYPERLINK("https://www.bhphotovideo.com/c/product/1492972-REG/sigma_213965_14_24mm_f_2_8_dg_dn.html/BI/19619/KBID/12129/DFF/d10-v21-t1-x976041/SID/EZ","link*")</f>
        <v>link*</v>
      </c>
      <c r="M7" s="113" t="s">
        <v>51</v>
      </c>
      <c r="N7" s="79"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O7" s="84">
        <v>28</v>
      </c>
      <c r="P7" s="70" t="s">
        <v>27</v>
      </c>
      <c r="Q7" s="74">
        <v>11</v>
      </c>
      <c r="R7" s="115" t="s">
        <v>54</v>
      </c>
      <c r="S7" s="74" t="s">
        <v>47</v>
      </c>
      <c r="T7" s="74" t="s">
        <v>213</v>
      </c>
      <c r="U7" s="77" t="s">
        <v>55</v>
      </c>
    </row>
    <row r="8" spans="1:22" ht="13" hidden="1">
      <c r="A8" s="323" t="s">
        <v>56</v>
      </c>
      <c r="B8" s="60">
        <v>505</v>
      </c>
      <c r="C8" s="67">
        <v>14</v>
      </c>
      <c r="D8" s="64">
        <v>2.8</v>
      </c>
      <c r="E8" s="65">
        <v>86</v>
      </c>
      <c r="F8" s="65">
        <v>98</v>
      </c>
      <c r="G8" s="74" t="s">
        <v>36</v>
      </c>
      <c r="H8" s="72" t="s">
        <v>26</v>
      </c>
      <c r="I8" s="74">
        <v>0.12</v>
      </c>
      <c r="J8" s="76">
        <v>799</v>
      </c>
      <c r="K8" s="79" t="str">
        <f>HYPERLINK("https://amzn.to/2SX2HUi","link*")</f>
        <v>link*</v>
      </c>
      <c r="L8" s="79" t="str">
        <f>HYPERLINK("https://www.bhphotovideo.com/c/product/1352863-REG/samyang_syio14af_e_14mm_f_2_8_f_f_wide.html/BI/19619/KBID/12129/DFF/d10-v21-t1-x837928/SID/EZ","link*")</f>
        <v>link*</v>
      </c>
      <c r="M8" s="79" t="str">
        <f>HYPERLINK("https://amzn.to/31hwSIL","link*")</f>
        <v>link*</v>
      </c>
      <c r="N8" s="79"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8" s="84">
        <v>20</v>
      </c>
      <c r="P8" s="70" t="s">
        <v>27</v>
      </c>
      <c r="Q8" s="74">
        <v>7</v>
      </c>
      <c r="R8" s="112">
        <v>43752</v>
      </c>
      <c r="S8" s="74" t="s">
        <v>38</v>
      </c>
      <c r="T8" s="125"/>
    </row>
    <row r="9" spans="1:22" ht="13" hidden="1">
      <c r="A9" s="196" t="str">
        <f>HYPERLINK("https://phillipreeve.net/blog/review-voigtlander-15mm-4-5-e-super-wide-heliar/","Voigtlander 15mm F4.5 Super Wide Heliar")</f>
        <v>Voigtlander 15mm F4.5 Super Wide Heliar</v>
      </c>
      <c r="B9" s="60">
        <v>298</v>
      </c>
      <c r="C9" s="67">
        <v>15</v>
      </c>
      <c r="D9" s="64">
        <v>4.5</v>
      </c>
      <c r="E9" s="248">
        <v>67</v>
      </c>
      <c r="F9" s="324">
        <v>62</v>
      </c>
      <c r="G9" s="325" t="s">
        <v>25</v>
      </c>
      <c r="H9" s="72" t="s">
        <v>71</v>
      </c>
      <c r="I9" s="74">
        <v>8.3000000000000004E-2</v>
      </c>
      <c r="J9" s="76">
        <v>799</v>
      </c>
      <c r="K9" s="79" t="str">
        <f>HYPERLINK("https://amzn.to/2YwplrQ","link*")</f>
        <v>link*</v>
      </c>
      <c r="L9" s="79" t="str">
        <f>HYPERLINK("https://www.bhphotovideo.com/c/product/1219549-REG/voigtlander_ba329b_super_wide_heliar_15mm_f_4_5.html/BI/19619/KBID/12129/DFF/d10-v21-t1-x618202/SID/EZ","link*")</f>
        <v>link*</v>
      </c>
      <c r="M9" s="79" t="str">
        <f>HYPERLINK("https://amzn.to/2ZpTKt5","link*")</f>
        <v>link*</v>
      </c>
      <c r="N9" s="79"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O9" s="84">
        <v>30</v>
      </c>
      <c r="P9" s="70" t="s">
        <v>27</v>
      </c>
      <c r="Q9" s="74">
        <v>10</v>
      </c>
      <c r="R9" s="136" t="s">
        <v>43</v>
      </c>
      <c r="S9" s="74" t="s">
        <v>29</v>
      </c>
      <c r="T9" s="74" t="s">
        <v>214</v>
      </c>
    </row>
    <row r="10" spans="1:22" ht="13" hidden="1">
      <c r="A10" s="196" t="str">
        <f>HYPERLINK("https://phillipreeve.net/blog/sony-fe-16-35mm-f4-za-t-review/","Sony ZA 4/16-35 OSS ")</f>
        <v xml:space="preserve">Sony ZA 4/16-35 OSS </v>
      </c>
      <c r="B10" s="60">
        <v>523</v>
      </c>
      <c r="C10" s="67">
        <v>16</v>
      </c>
      <c r="D10" s="64">
        <v>4</v>
      </c>
      <c r="E10" s="65">
        <v>78</v>
      </c>
      <c r="F10" s="65">
        <v>98</v>
      </c>
      <c r="G10" s="70" t="s">
        <v>36</v>
      </c>
      <c r="H10" s="72" t="s">
        <v>64</v>
      </c>
      <c r="I10" s="74">
        <v>0.19</v>
      </c>
      <c r="J10" s="76">
        <v>1349</v>
      </c>
      <c r="K10" s="79" t="str">
        <f>HYPERLINK("http://amzn.to/2v2sY7q","link*")</f>
        <v>link*</v>
      </c>
      <c r="L10" s="79" t="str">
        <f>HYPERLINK("https://www.bhphotovideo.com/c/product/1380866-REG/sony_16_35mm_f_4_vario_tsr.html/BI/19619/KBID/12129/kw/SO16354F/DFF/d10-v2-t1-xSO16354F","link*")</f>
        <v>link*</v>
      </c>
      <c r="M10" s="79" t="str">
        <f>HYPERLINK("http://amzn.to/2wyMLuP","link*")</f>
        <v>link*</v>
      </c>
      <c r="N10" s="7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10" s="84">
        <v>28</v>
      </c>
      <c r="P10" s="134" t="s">
        <v>66</v>
      </c>
      <c r="Q10" s="74">
        <v>7</v>
      </c>
      <c r="R10" s="136" t="s">
        <v>43</v>
      </c>
      <c r="S10" s="74" t="s">
        <v>41</v>
      </c>
      <c r="T10" s="74" t="s">
        <v>215</v>
      </c>
    </row>
    <row r="11" spans="1:22" ht="13" hidden="1">
      <c r="A11" s="323" t="s">
        <v>67</v>
      </c>
      <c r="B11" s="60">
        <v>680</v>
      </c>
      <c r="C11" s="67">
        <v>16</v>
      </c>
      <c r="D11" s="64">
        <v>2.8</v>
      </c>
      <c r="E11" s="65">
        <v>89</v>
      </c>
      <c r="F11" s="65">
        <v>122</v>
      </c>
      <c r="G11" s="70" t="s">
        <v>36</v>
      </c>
      <c r="H11" s="72" t="s">
        <v>68</v>
      </c>
      <c r="I11" s="74">
        <v>0.19</v>
      </c>
      <c r="J11" s="76">
        <v>2199</v>
      </c>
      <c r="K11" s="79" t="str">
        <f>HYPERLINK("https://amzn.to/2SR0IRl","link*")</f>
        <v>link*</v>
      </c>
      <c r="L11" s="79" t="str">
        <f>HYPERLINK("https://www.bhphotovideo.com/c/product/1338516-REG/sony_sel1635gm_fe_16_35mm_f_2_8_gm.html/BI/19619/KBID/12129/DFF/d10-v21-t1-x822837/SID/EZ","link*")</f>
        <v>link*</v>
      </c>
      <c r="M11" s="79" t="str">
        <f>HYPERLINK("https://amzn.to/2T1ZxOU","link*")</f>
        <v>link*</v>
      </c>
      <c r="N11" s="79"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11" s="84">
        <v>28</v>
      </c>
      <c r="P11" s="70" t="s">
        <v>27</v>
      </c>
      <c r="Q11" s="74">
        <v>11</v>
      </c>
      <c r="R11" s="136" t="s">
        <v>72</v>
      </c>
      <c r="S11" s="74" t="s">
        <v>41</v>
      </c>
      <c r="T11" s="74" t="s">
        <v>211</v>
      </c>
    </row>
    <row r="12" spans="1:22" ht="13" hidden="1">
      <c r="A12" s="327" t="str">
        <f>HYPERLINK("https://phillipreeve.net/blog/review-tamron-17-28mm-f-2-8-di-iii-rxd/","Tamron 17-28mm f/2.8 Di III RXD")</f>
        <v>Tamron 17-28mm f/2.8 Di III RXD</v>
      </c>
      <c r="B12" s="60">
        <v>420</v>
      </c>
      <c r="C12" s="67">
        <v>17</v>
      </c>
      <c r="D12" s="64">
        <v>2.8</v>
      </c>
      <c r="E12" s="152">
        <v>73</v>
      </c>
      <c r="F12" s="65">
        <v>99</v>
      </c>
      <c r="G12" s="70" t="s">
        <v>36</v>
      </c>
      <c r="H12" s="72" t="s">
        <v>73</v>
      </c>
      <c r="I12" s="74">
        <v>0.19</v>
      </c>
      <c r="J12" s="156">
        <v>899</v>
      </c>
      <c r="K12" s="79" t="str">
        <f>HYPERLINK("https://amzn.to/2Hv3AyB","link*")</f>
        <v>link*</v>
      </c>
      <c r="L12" s="79" t="str">
        <f>HYPERLINK("https://www.bhphotovideo.com/c/product/1461529-REG/tamron_a046_17_28mm_f_2_8_di_iii.html/BI/19619/KBID/12129/DFF/d10-v21-t1-x946694/SID/EZ","link*")</f>
        <v>link*</v>
      </c>
      <c r="M12" s="79" t="str">
        <f>HYPERLINK("https://amzn.to/2YkrkQB","link*")</f>
        <v>link*</v>
      </c>
      <c r="N12" s="79"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12" s="84">
        <v>19</v>
      </c>
      <c r="P12" s="70" t="s">
        <v>27</v>
      </c>
      <c r="Q12" s="74">
        <v>9</v>
      </c>
      <c r="R12" s="136" t="s">
        <v>77</v>
      </c>
      <c r="S12" s="74" t="s">
        <v>78</v>
      </c>
      <c r="T12" s="74" t="s">
        <v>216</v>
      </c>
      <c r="V12" s="160"/>
    </row>
    <row r="13" spans="1:22" ht="13" hidden="1">
      <c r="A13" s="196" t="str">
        <f>HYPERLINK("https://phillipreeve.net/blog/review-zeiss-batis-18mm-2-8/","Zeiss Batis 2.8/18")</f>
        <v>Zeiss Batis 2.8/18</v>
      </c>
      <c r="B13" s="60">
        <v>330</v>
      </c>
      <c r="C13" s="67">
        <v>18</v>
      </c>
      <c r="D13" s="64">
        <v>2.8</v>
      </c>
      <c r="E13" s="65">
        <v>100</v>
      </c>
      <c r="F13" s="65">
        <v>80</v>
      </c>
      <c r="G13" s="70" t="s">
        <v>36</v>
      </c>
      <c r="H13" s="72" t="s">
        <v>80</v>
      </c>
      <c r="I13" s="74">
        <v>0.1</v>
      </c>
      <c r="J13" s="76">
        <v>1499</v>
      </c>
      <c r="K13" s="79" t="str">
        <f>HYPERLINK("https://amzn.to/2SRFBhL","link*")</f>
        <v>link*</v>
      </c>
      <c r="L13" s="79" t="str">
        <f>HYPERLINK("https://www.bhphotovideo.com/c/product/1243591-REG/zeiss_2136_691_batis_18mm_f_2_8_lens.html/BI/19619/KBID/12129/DFF/d10-v21-t1-x727488/SID/EZ","link*")</f>
        <v>link*</v>
      </c>
      <c r="M13" s="79" t="str">
        <f>HYPERLINK("https://amzn.to/334PqNT","link*")</f>
        <v>link*</v>
      </c>
      <c r="N13" s="7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13" s="84">
        <v>25</v>
      </c>
      <c r="P13" s="70" t="s">
        <v>27</v>
      </c>
      <c r="Q13" s="74">
        <v>9</v>
      </c>
      <c r="R13" s="136" t="s">
        <v>86</v>
      </c>
      <c r="S13" s="74" t="s">
        <v>87</v>
      </c>
      <c r="T13" s="125"/>
    </row>
    <row r="14" spans="1:22" ht="15.75" hidden="1" customHeight="1">
      <c r="A14" s="323" t="s">
        <v>92</v>
      </c>
      <c r="B14" s="60">
        <v>950</v>
      </c>
      <c r="C14" s="67">
        <v>20</v>
      </c>
      <c r="D14" s="165">
        <v>1.4</v>
      </c>
      <c r="E14" s="65">
        <v>91</v>
      </c>
      <c r="F14" s="65">
        <v>130</v>
      </c>
      <c r="G14" s="74" t="s">
        <v>36</v>
      </c>
      <c r="H14" s="72" t="s">
        <v>26</v>
      </c>
      <c r="I14" s="74">
        <v>0.14000000000000001</v>
      </c>
      <c r="J14" s="76">
        <v>899</v>
      </c>
      <c r="K14" s="79" t="str">
        <f>HYPERLINK("https://amzn.to/2K4J7nh","link*")</f>
        <v>link*</v>
      </c>
      <c r="L14" s="79" t="str">
        <f>HYPERLINK("https://amzn.to/31hxv55","link*")</f>
        <v>link*</v>
      </c>
      <c r="M14" s="79" t="str">
        <f>HYPERLINK("https://amzn.to/2Wy0d3F","link*")</f>
        <v>link*</v>
      </c>
      <c r="N14" s="79"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O14" s="84">
        <v>28</v>
      </c>
      <c r="P14" s="70" t="s">
        <v>27</v>
      </c>
      <c r="Q14" s="74">
        <v>9</v>
      </c>
      <c r="R14" s="112">
        <v>43784</v>
      </c>
      <c r="S14" s="74" t="s">
        <v>47</v>
      </c>
      <c r="T14" s="125"/>
      <c r="U14" s="77" t="s">
        <v>48</v>
      </c>
    </row>
    <row r="15" spans="1:22" ht="13" hidden="1">
      <c r="A15" s="323" t="s">
        <v>104</v>
      </c>
      <c r="B15" s="60">
        <v>775</v>
      </c>
      <c r="C15" s="67">
        <v>20</v>
      </c>
      <c r="D15" s="100">
        <v>1.8</v>
      </c>
      <c r="E15" s="65">
        <v>77</v>
      </c>
      <c r="F15" s="65">
        <v>102</v>
      </c>
      <c r="G15" s="328" t="s">
        <v>25</v>
      </c>
      <c r="H15" s="72" t="s">
        <v>68</v>
      </c>
      <c r="I15" s="74">
        <v>0.12</v>
      </c>
      <c r="J15" s="76">
        <v>486</v>
      </c>
      <c r="K15" s="79" t="str">
        <f>HYPERLINK("https://amzn.to/2LRRbJ5","link*")</f>
        <v>link*</v>
      </c>
      <c r="L15" s="79" t="str">
        <f>HYPERLINK("https://www.bhphotovideo.com/c/product/1469187-REG/viltrox_pfu_rbmh_20mm_f1_8_asph_e_mount_20mm_f_1_8_for_sony.html/BI/19619/KBID/12129/DFF/d10-v21-t1-x954299/SID/EZ","link*")</f>
        <v>link*</v>
      </c>
      <c r="M15" s="79" t="str">
        <f>HYPERLINK("https://amzn.to/2GL8iYV","link*")</f>
        <v>link*</v>
      </c>
      <c r="N15" s="79"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O15" s="84">
        <v>25</v>
      </c>
      <c r="P15" s="70" t="s">
        <v>27</v>
      </c>
      <c r="Q15" s="74">
        <v>14</v>
      </c>
      <c r="R15" s="112">
        <v>43720</v>
      </c>
      <c r="S15" s="74" t="s">
        <v>106</v>
      </c>
      <c r="T15" s="125"/>
    </row>
    <row r="16" spans="1:22" ht="13" hidden="1">
      <c r="A16" s="196" t="str">
        <f>HYPERLINK("https://phillipreeve.net/blog/tokina-firin-20mm-f2-fe-review-a-good-deal/","Tokina Firin 2/20")</f>
        <v>Tokina Firin 2/20</v>
      </c>
      <c r="B16" s="60">
        <v>492</v>
      </c>
      <c r="C16" s="67">
        <v>20</v>
      </c>
      <c r="D16" s="173">
        <v>2</v>
      </c>
      <c r="E16" s="187">
        <v>69</v>
      </c>
      <c r="F16" s="329">
        <v>82</v>
      </c>
      <c r="G16" s="325" t="s">
        <v>25</v>
      </c>
      <c r="H16" s="72" t="s">
        <v>101</v>
      </c>
      <c r="I16" s="74">
        <v>0.1</v>
      </c>
      <c r="J16" s="184">
        <v>799</v>
      </c>
      <c r="K16" s="79" t="str">
        <f>HYPERLINK("http://amzn.to/2vlG2Yq","link*")</f>
        <v>link*</v>
      </c>
      <c r="L16" s="79" t="str">
        <f>HYPERLINK("https://www.bhphotovideo.com/c/product/1281299-REG/tokina_firin_20mm_f_2_fe.html/BI/19619/KBID/12129/kw/TO202E/DFF/d10-v2-t1-xTO202E","link*")</f>
        <v>link*</v>
      </c>
      <c r="M16" s="79" t="str">
        <f>HYPERLINK("http://amzn.to/2vvtDkM","link*")</f>
        <v>link*</v>
      </c>
      <c r="N16" s="79"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c r="O16" s="84">
        <v>30</v>
      </c>
      <c r="P16" s="70" t="s">
        <v>27</v>
      </c>
      <c r="Q16" s="74">
        <v>9</v>
      </c>
      <c r="R16" s="136" t="s">
        <v>77</v>
      </c>
      <c r="S16" s="74" t="s">
        <v>103</v>
      </c>
      <c r="T16" s="125"/>
    </row>
    <row r="17" spans="1:21" ht="13" hidden="1">
      <c r="A17" s="323" t="s">
        <v>97</v>
      </c>
      <c r="B17" s="60">
        <v>464</v>
      </c>
      <c r="C17" s="67">
        <v>20</v>
      </c>
      <c r="D17" s="173">
        <v>2</v>
      </c>
      <c r="E17" s="175">
        <v>73</v>
      </c>
      <c r="F17" s="216">
        <v>82</v>
      </c>
      <c r="G17" s="70" t="s">
        <v>36</v>
      </c>
      <c r="H17" s="72" t="s">
        <v>101</v>
      </c>
      <c r="I17" s="74">
        <v>0.1</v>
      </c>
      <c r="J17" s="76">
        <v>949</v>
      </c>
      <c r="K17" s="79" t="str">
        <f>HYPERLINK("https://amzn.to/2GDurZb","link*")</f>
        <v>link*</v>
      </c>
      <c r="L17" s="79" t="str">
        <f>HYPERLINK("https://www.bhphotovideo.com/c/product/1393327-REG/tokina_firin_20mm_f_2_fe.html/BI/19619/KBID/12129/DFF/d10-v21-t1-x880327/SID/EZ","link*")</f>
        <v>link*</v>
      </c>
      <c r="M17" s="79" t="str">
        <f>HYPERLINK("https://amzn.to/2GJYCxw","link*")</f>
        <v>link*</v>
      </c>
      <c r="N17" s="79"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17" s="84">
        <v>30</v>
      </c>
      <c r="P17" s="70" t="s">
        <v>27</v>
      </c>
      <c r="Q17" s="74">
        <v>9</v>
      </c>
      <c r="R17" s="136" t="s">
        <v>77</v>
      </c>
      <c r="S17" s="74" t="s">
        <v>103</v>
      </c>
      <c r="T17" s="125"/>
    </row>
    <row r="18" spans="1:21" ht="13" hidden="1">
      <c r="A18" s="327" t="str">
        <f>HYPERLINK("https://phillipreeve.net/blog/review_voigtlander_21mm_f14_e/","Voigtlander 21mm F1.4 Nokton")</f>
        <v>Voigtlander 21mm F1.4 Nokton</v>
      </c>
      <c r="B18" s="60">
        <v>540</v>
      </c>
      <c r="C18" s="67">
        <v>21</v>
      </c>
      <c r="D18" s="192">
        <v>1.4</v>
      </c>
      <c r="E18" s="194">
        <v>70</v>
      </c>
      <c r="F18" s="211">
        <v>80</v>
      </c>
      <c r="G18" s="325" t="s">
        <v>25</v>
      </c>
      <c r="H18" s="72" t="s">
        <v>101</v>
      </c>
      <c r="I18" s="74"/>
      <c r="J18" s="76">
        <v>1199</v>
      </c>
      <c r="K18" s="79" t="str">
        <f>HYPERLINK("https://amzn.to/2K7gHrC","link*")</f>
        <v>link*</v>
      </c>
      <c r="L18" s="79" t="str">
        <f>HYPERLINK("https://www.bhphotovideo.com/c/product/1480269-REG/voigtlander_ba352a_nokton_21mm_f_1_4_aspherical.html/BI/19619/KBID/12129/DFF/d10-v21-t1-x963269/SID/EZ","link*")</f>
        <v>link*</v>
      </c>
      <c r="M18" s="113"/>
      <c r="N18" s="79"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c r="O18" s="84">
        <v>25</v>
      </c>
      <c r="P18" s="70" t="s">
        <v>27</v>
      </c>
      <c r="Q18" s="74">
        <v>12</v>
      </c>
      <c r="R18" s="136" t="s">
        <v>77</v>
      </c>
      <c r="S18" s="74" t="s">
        <v>29</v>
      </c>
      <c r="T18" s="74" t="s">
        <v>217</v>
      </c>
    </row>
    <row r="19" spans="1:21" ht="13" hidden="1">
      <c r="A19" s="196" t="str">
        <f>HYPERLINK("https://phillipreeve.net/blog/rolling-review-zeiss-loxia-distagon-2-821mm-t/https://phillipreeve.net/blog/rolling-review-zeiss-loxia-distagon-2-821mm-t/","Zeiss Loxia 2.8/21 Distagon T*")</f>
        <v>Zeiss Loxia 2.8/21 Distagon T*</v>
      </c>
      <c r="B19" s="60">
        <v>394</v>
      </c>
      <c r="C19" s="67">
        <v>21</v>
      </c>
      <c r="D19" s="64">
        <v>2.8</v>
      </c>
      <c r="E19" s="194">
        <v>62</v>
      </c>
      <c r="F19" s="211">
        <v>72</v>
      </c>
      <c r="G19" s="325" t="s">
        <v>25</v>
      </c>
      <c r="H19" s="72" t="s">
        <v>131</v>
      </c>
      <c r="I19" s="74">
        <v>0.13</v>
      </c>
      <c r="J19" s="76">
        <v>1499</v>
      </c>
      <c r="K19" s="79" t="str">
        <f>HYPERLINK("https://amzn.to/2yspzBm","link*")</f>
        <v>link*</v>
      </c>
      <c r="L19" s="79" t="str">
        <f>HYPERLINK("https://www.bhphotovideo.com/c/product/1189220-REG/zeiss_2131_999_loxia_21mm_f_2_8_lens.html/BI/19619/KBID/12129/DFF/d10-v21-t1-x677077/SID/EZ","link*")</f>
        <v>link*</v>
      </c>
      <c r="M19" s="79" t="str">
        <f>HYPERLINK("https://amzn.to/2GHSOoA","link*")</f>
        <v>link*</v>
      </c>
      <c r="N19" s="79"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c r="O19" s="84">
        <v>25</v>
      </c>
      <c r="P19" s="70" t="s">
        <v>27</v>
      </c>
      <c r="Q19" s="74">
        <v>10</v>
      </c>
      <c r="R19" s="136"/>
      <c r="S19" s="74" t="s">
        <v>87</v>
      </c>
      <c r="T19" s="125"/>
    </row>
    <row r="20" spans="1:21" ht="13" hidden="1">
      <c r="A20" s="196" t="str">
        <f>HYPERLINK("https://phillipreeve.net/blog/voigtlander-21mm-f35-review/","Voigtlander 21mm F3.5 Color-Skopar")</f>
        <v>Voigtlander 21mm F3.5 Color-Skopar</v>
      </c>
      <c r="B20" s="60">
        <v>230</v>
      </c>
      <c r="C20" s="67">
        <v>21</v>
      </c>
      <c r="D20" s="64">
        <v>3.5</v>
      </c>
      <c r="E20" s="194">
        <v>63</v>
      </c>
      <c r="F20" s="216">
        <v>40</v>
      </c>
      <c r="G20" s="325" t="s">
        <v>25</v>
      </c>
      <c r="H20" s="72" t="s">
        <v>131</v>
      </c>
      <c r="I20" s="125"/>
      <c r="J20" s="76">
        <v>699</v>
      </c>
      <c r="K20" s="79" t="str">
        <f>HYPERLINK("https://amzn.to/2JCie75","link*")</f>
        <v>link*</v>
      </c>
      <c r="L20" s="79" t="str">
        <f>HYPERLINK("https://www.bhphotovideo.com/c/product/1437613-REG/voigtlander_color_skopar_21mm_f_3_5_aspherical.html/BI/19619/KBID/12129/kw/VO2135E/DFF/d10-v2-t1-xVO2135E","link*")</f>
        <v>link*</v>
      </c>
      <c r="M20" s="79" t="str">
        <f>HYPERLINK("https://amzn.to/2ZoERan","link*")</f>
        <v>link*</v>
      </c>
      <c r="N20" s="79"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O20" s="84">
        <v>20</v>
      </c>
      <c r="P20" s="70" t="s">
        <v>27</v>
      </c>
      <c r="Q20" s="74">
        <v>10</v>
      </c>
      <c r="R20" s="136" t="s">
        <v>91</v>
      </c>
      <c r="S20" s="74" t="s">
        <v>29</v>
      </c>
      <c r="T20" s="74" t="s">
        <v>218</v>
      </c>
    </row>
    <row r="21" spans="1:21" ht="13" hidden="1">
      <c r="A21" s="196" t="str">
        <f>HYPERLINK("https://phillipreeve.net/blog/review-sony-fe-24mm-1-4-gm/","Sony GM 1.4/24")</f>
        <v>Sony GM 1.4/24</v>
      </c>
      <c r="B21" s="60">
        <v>445</v>
      </c>
      <c r="C21" s="67">
        <v>24</v>
      </c>
      <c r="D21" s="192">
        <v>1.4</v>
      </c>
      <c r="E21" s="194">
        <v>75</v>
      </c>
      <c r="F21" s="211">
        <v>92</v>
      </c>
      <c r="G21" s="70" t="s">
        <v>36</v>
      </c>
      <c r="H21" s="72" t="s">
        <v>73</v>
      </c>
      <c r="I21" s="74">
        <v>0.17</v>
      </c>
      <c r="J21" s="76">
        <v>1399</v>
      </c>
      <c r="K21" s="79" t="str">
        <f>HYPERLINK("https://amzn.to/2ywcbw1","link*")</f>
        <v>link*</v>
      </c>
      <c r="L21" s="79" t="str">
        <f>HYPERLINK("https://www.bhphotovideo.com/c/product/1435887-REG/sony_fe_24mm_f_1_4_gm.html/BI/19619/KBID/12129/DFF/d10-v21-t1-x915647/SID/EZ","link*")</f>
        <v>link*</v>
      </c>
      <c r="M21" s="79" t="str">
        <f>HYPERLINK("https://amzn.to/2L2tV9y","link*")</f>
        <v>link*</v>
      </c>
      <c r="N21" s="79" t="str">
        <f>HYPERLINK("https://amzn.to/338yg28","link*")</f>
        <v>link*</v>
      </c>
      <c r="O21" s="84">
        <v>25</v>
      </c>
      <c r="P21" s="70" t="s">
        <v>27</v>
      </c>
      <c r="Q21" s="74">
        <v>11</v>
      </c>
      <c r="R21" s="136" t="s">
        <v>28</v>
      </c>
      <c r="S21" s="74" t="s">
        <v>41</v>
      </c>
      <c r="T21" s="74" t="s">
        <v>218</v>
      </c>
    </row>
    <row r="22" spans="1:21" ht="13" hidden="1">
      <c r="A22" s="323" t="s">
        <v>121</v>
      </c>
      <c r="B22" s="60">
        <v>665</v>
      </c>
      <c r="C22" s="67">
        <v>24</v>
      </c>
      <c r="D22" s="192">
        <v>1.4</v>
      </c>
      <c r="E22" s="194">
        <v>85</v>
      </c>
      <c r="F22" s="211">
        <v>90</v>
      </c>
      <c r="G22" s="74" t="s">
        <v>36</v>
      </c>
      <c r="H22" s="72" t="s">
        <v>80</v>
      </c>
      <c r="I22" s="74">
        <v>0.19</v>
      </c>
      <c r="J22" s="76">
        <v>849</v>
      </c>
      <c r="K22" s="79" t="str">
        <f>HYPERLINK("https://amzn.to/2Isw2Rv","link*")</f>
        <v>link*</v>
      </c>
      <c r="L22" s="79" t="str">
        <f>HYPERLINK("https://www.bhphotovideo.com/c/product/1393491-REG/sigma_24mm_f_1_4_dg_hsm.html/BI/19619/KBID/12129/kw/SI2414SO/DFF/d10-v2-t1-xSI2414SO","link*")</f>
        <v>link*</v>
      </c>
      <c r="M22" s="79" t="str">
        <f>HYPERLINK("https://amzn.to/2K7sIP4","link*")</f>
        <v>link*</v>
      </c>
      <c r="N22" s="79"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O22" s="84">
        <v>25</v>
      </c>
      <c r="P22" s="70" t="s">
        <v>27</v>
      </c>
      <c r="Q22" s="74">
        <v>9</v>
      </c>
      <c r="R22" s="112">
        <v>43784</v>
      </c>
      <c r="S22" s="74" t="s">
        <v>47</v>
      </c>
      <c r="T22" s="125"/>
      <c r="U22" s="77" t="s">
        <v>48</v>
      </c>
    </row>
    <row r="23" spans="1:21" ht="13" hidden="1">
      <c r="A23" s="196" t="str">
        <f>HYPERLINK("https://phillipreeve.net/blog/review-samyang-af-2-4-28-fe-at-least-its-small/","Samyang AF 24mm F/2.8")</f>
        <v>Samyang AF 24mm F/2.8</v>
      </c>
      <c r="B23" s="60">
        <v>93</v>
      </c>
      <c r="C23" s="67">
        <v>24</v>
      </c>
      <c r="D23" s="64">
        <v>2.8</v>
      </c>
      <c r="E23" s="194">
        <v>61</v>
      </c>
      <c r="F23" s="216">
        <v>37</v>
      </c>
      <c r="G23" s="70" t="s">
        <v>36</v>
      </c>
      <c r="H23" s="72" t="s">
        <v>124</v>
      </c>
      <c r="I23" s="74">
        <v>0.15</v>
      </c>
      <c r="J23" s="184">
        <v>279</v>
      </c>
      <c r="K23" s="79" t="str">
        <f>HYPERLINK("https://amzn.to/2NEHZ7c","link*")</f>
        <v>link*</v>
      </c>
      <c r="L23" s="79" t="str">
        <f>HYPERLINK("https://www.bhphotovideo.com/c/product/1413350-REG/samyang_syio24af_e_af_24mm_f_2_8_fe.html/BI/19619/KBID/12129/kw/SASYIO24AFE/DFF/d10-v2-t1-xSASYIO24AFE","link*")</f>
        <v>link*</v>
      </c>
      <c r="M23" s="79" t="str">
        <f>HYPERLINK("https://amzn.to/2Onv1QE","link*")</f>
        <v>link*</v>
      </c>
      <c r="N23"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23" s="84">
        <v>20</v>
      </c>
      <c r="P23" s="70" t="s">
        <v>27</v>
      </c>
      <c r="Q23" s="74">
        <v>9</v>
      </c>
      <c r="R23" s="136" t="s">
        <v>127</v>
      </c>
      <c r="S23" s="74" t="s">
        <v>38</v>
      </c>
      <c r="T23" s="125"/>
    </row>
    <row r="24" spans="1:21" ht="13" hidden="1">
      <c r="A24" s="196" t="str">
        <f>HYPERLINK("https://phillipreeve.net/blog/review-sony-fe-2-824-70mm-gm/","Sony GM 2.8/24-70")</f>
        <v>Sony GM 2.8/24-70</v>
      </c>
      <c r="B24" s="60">
        <v>886</v>
      </c>
      <c r="C24" s="67">
        <v>24</v>
      </c>
      <c r="D24" s="64">
        <v>2.8</v>
      </c>
      <c r="E24" s="194">
        <v>88</v>
      </c>
      <c r="F24" s="216">
        <v>136</v>
      </c>
      <c r="G24" s="70" t="s">
        <v>36</v>
      </c>
      <c r="H24" s="72" t="s">
        <v>68</v>
      </c>
      <c r="I24" s="201">
        <v>0.25</v>
      </c>
      <c r="J24" s="76">
        <v>2199</v>
      </c>
      <c r="K24" s="79" t="str">
        <f>HYPERLINK("https://amzn.to/2STHavK","link*")</f>
        <v>link*</v>
      </c>
      <c r="L24" s="79" t="str">
        <f>HYPERLINK("https://www.bhphotovideo.com/c/search?Ntt=gm%2024-70&amp;N=0&amp;InitialSearch=yes&amp;sts=ma&amp;Top+Nav-Search=&amp;BI=19619&amp;KBID=12129&amp;KWID=EZ","link*")</f>
        <v>link*</v>
      </c>
      <c r="M24" s="79" t="str">
        <f>HYPERLINK("https://amzn.to/2ZwoyU7","link*")</f>
        <v>link*</v>
      </c>
      <c r="N24"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24" s="84">
        <v>38</v>
      </c>
      <c r="P24" s="70" t="s">
        <v>27</v>
      </c>
      <c r="Q24" s="74">
        <v>11</v>
      </c>
      <c r="R24" s="136" t="s">
        <v>54</v>
      </c>
      <c r="S24" s="74" t="s">
        <v>41</v>
      </c>
      <c r="T24" s="74" t="s">
        <v>214</v>
      </c>
    </row>
    <row r="25" spans="1:21" ht="13" hidden="1">
      <c r="A25" s="323" t="s">
        <v>129</v>
      </c>
      <c r="B25" s="60">
        <v>780</v>
      </c>
      <c r="C25" s="67">
        <v>24</v>
      </c>
      <c r="D25" s="64" t="s">
        <v>130</v>
      </c>
      <c r="E25" s="194">
        <v>80</v>
      </c>
      <c r="F25" s="216">
        <v>119</v>
      </c>
      <c r="G25" s="70" t="s">
        <v>36</v>
      </c>
      <c r="H25" s="72" t="s">
        <v>64</v>
      </c>
      <c r="I25" s="201">
        <v>0.27</v>
      </c>
      <c r="J25" s="76">
        <v>998</v>
      </c>
      <c r="K25" s="79" t="str">
        <f>HYPERLINK("http://amzn.to/2fbX5FU","link*")</f>
        <v>link*</v>
      </c>
      <c r="L25" s="79" t="str">
        <f>HYPERLINK("https://www.bhphotovideo.com/c/search?Ntt=sony%2024-240&amp;N=0&amp;InitialSearch=yes&amp;sts=ma&amp;Top+Nav-Search=&amp;BI=19619&amp;KBID=12129&amp;KWID=EZ","link*")</f>
        <v>link*</v>
      </c>
      <c r="M25" s="79" t="str">
        <f>HYPERLINK("http://amzn.to/2wyrL7A","link*")</f>
        <v>link*</v>
      </c>
      <c r="N25"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25" s="84">
        <v>50</v>
      </c>
      <c r="P25" s="134" t="s">
        <v>66</v>
      </c>
      <c r="Q25" s="74">
        <v>7</v>
      </c>
      <c r="R25" s="136" t="s">
        <v>133</v>
      </c>
      <c r="S25" s="74" t="s">
        <v>41</v>
      </c>
      <c r="T25" s="74" t="s">
        <v>219</v>
      </c>
    </row>
    <row r="26" spans="1:21" ht="13" hidden="1">
      <c r="A26" s="323" t="s">
        <v>134</v>
      </c>
      <c r="B26" s="60">
        <v>663</v>
      </c>
      <c r="C26" s="67">
        <v>24</v>
      </c>
      <c r="D26" s="64">
        <v>4</v>
      </c>
      <c r="E26" s="194">
        <v>83</v>
      </c>
      <c r="F26" s="211">
        <v>113</v>
      </c>
      <c r="G26" s="70" t="s">
        <v>36</v>
      </c>
      <c r="H26" s="72" t="s">
        <v>80</v>
      </c>
      <c r="I26" s="201">
        <v>0.31</v>
      </c>
      <c r="J26" s="76">
        <v>1398</v>
      </c>
      <c r="K26" s="79" t="str">
        <f>HYPERLINK("https://amzn.to/2K7LwMR","link*")</f>
        <v>link*</v>
      </c>
      <c r="L26" s="79" t="str">
        <f>HYPERLINK("https://www.bhphotovideo.com/c/search?Ntt=sony%2024-105&amp;N=0&amp;InitialSearch=yes&amp;sts=ma&amp;Top+Nav-Search=&amp;BI=19619&amp;KBID=12129&amp;KWID=EZ","link*")</f>
        <v>link*</v>
      </c>
      <c r="M26" s="79" t="str">
        <f>HYPERLINK("https://amzn.to/2Ld8hOS","link*")</f>
        <v>link*</v>
      </c>
      <c r="N26"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26" s="84">
        <v>38</v>
      </c>
      <c r="P26" s="134" t="s">
        <v>66</v>
      </c>
      <c r="Q26" s="74">
        <v>9</v>
      </c>
      <c r="R26" s="136" t="s">
        <v>135</v>
      </c>
      <c r="S26" s="74" t="s">
        <v>41</v>
      </c>
      <c r="T26" s="74" t="s">
        <v>220</v>
      </c>
    </row>
    <row r="27" spans="1:21" ht="13" hidden="1">
      <c r="A27" s="196" t="str">
        <f>HYPERLINK("https://phillipreeve.net/blog/rolling-review-carl-zeiss-vario-tessar-t-fe-424-70-za/","Sony ZA 4/24-70 OSS")</f>
        <v>Sony ZA 4/24-70 OSS</v>
      </c>
      <c r="B27" s="60">
        <v>426</v>
      </c>
      <c r="C27" s="67">
        <v>24</v>
      </c>
      <c r="D27" s="64">
        <v>4</v>
      </c>
      <c r="E27" s="194">
        <v>73</v>
      </c>
      <c r="F27" s="211">
        <v>95</v>
      </c>
      <c r="G27" s="70" t="s">
        <v>36</v>
      </c>
      <c r="H27" s="72" t="s">
        <v>73</v>
      </c>
      <c r="I27" s="74">
        <v>0.2</v>
      </c>
      <c r="J27" s="76">
        <v>898</v>
      </c>
      <c r="K27" s="79" t="str">
        <f>HYPERLINK("http://amzn.to/2vlG2Yq","link*")</f>
        <v>link*</v>
      </c>
      <c r="L27" s="79" t="str">
        <f>HYPERLINK("https://www.bhphotovideo.com/c/product/1008126-REG/sony_sel2470z_vario_tessar_t_fe_24_70mm.html/BI/19619/KBID/12129/DFF/d10-v21-t1-x466842/SID/EZ","link*")</f>
        <v>link*</v>
      </c>
      <c r="M27" s="79" t="str">
        <f>HYPERLINK("http://amzn.to/2fl1XZk","link*")</f>
        <v>link*</v>
      </c>
      <c r="N27" s="79"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27" s="84">
        <v>40</v>
      </c>
      <c r="P27" s="134" t="s">
        <v>66</v>
      </c>
      <c r="Q27" s="74">
        <v>7</v>
      </c>
      <c r="R27" s="136" t="s">
        <v>43</v>
      </c>
      <c r="S27" s="74" t="s">
        <v>41</v>
      </c>
      <c r="T27" s="74" t="s">
        <v>221</v>
      </c>
    </row>
    <row r="28" spans="1:21" ht="13" hidden="1">
      <c r="A28" s="196" t="str">
        <f>HYPERLINK("https://phillipreeve.net/blog/review-zeiss-batis-distagon-t-25mm-f2/","Zeiss Batis 2/25")</f>
        <v>Zeiss Batis 2/25</v>
      </c>
      <c r="B28" s="60">
        <v>335</v>
      </c>
      <c r="C28" s="67">
        <v>25</v>
      </c>
      <c r="D28" s="64">
        <v>2</v>
      </c>
      <c r="E28" s="194">
        <v>92</v>
      </c>
      <c r="F28" s="211">
        <v>78</v>
      </c>
      <c r="G28" s="70" t="s">
        <v>36</v>
      </c>
      <c r="H28" s="72" t="s">
        <v>73</v>
      </c>
      <c r="I28" s="74">
        <v>0.19</v>
      </c>
      <c r="J28" s="76">
        <v>1299</v>
      </c>
      <c r="K28" s="79" t="str">
        <f>HYPERLINK("https://amzn.to/2ypHQiT","link*")</f>
        <v>link*</v>
      </c>
      <c r="L28" s="79" t="str">
        <f>HYPERLINK("https://www.bhphotovideo.com/c/product/1140832-REG/zeiss_2103_750_25mm_f_2_0_batis_wide.html/BI/19619/KBID/12129/DFF/d10-v21-t1-x627141/SID/EZ","link*")</f>
        <v>link*</v>
      </c>
      <c r="M28" s="79" t="str">
        <f>HYPERLINK("https://amzn.to/2L20DIj","link*")</f>
        <v>link*</v>
      </c>
      <c r="N28" s="7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28" s="84">
        <v>20</v>
      </c>
      <c r="P28" s="70" t="s">
        <v>27</v>
      </c>
      <c r="Q28" s="74">
        <v>9</v>
      </c>
      <c r="R28" s="136" t="s">
        <v>140</v>
      </c>
      <c r="S28" s="74" t="s">
        <v>87</v>
      </c>
      <c r="T28" s="125"/>
    </row>
    <row r="29" spans="1:21" ht="13" hidden="1">
      <c r="A29" s="196" t="str">
        <f>HYPERLINK("https://phillipreeve.net/blog/review-zeiss-loxia-2-4-25mm-distagon/","Zeiss Loxia 2.4/25")</f>
        <v>Zeiss Loxia 2.4/25</v>
      </c>
      <c r="B29" s="60">
        <v>393</v>
      </c>
      <c r="C29" s="67">
        <v>25</v>
      </c>
      <c r="D29" s="64">
        <v>2.4</v>
      </c>
      <c r="E29" s="194">
        <v>62</v>
      </c>
      <c r="F29" s="211">
        <v>75</v>
      </c>
      <c r="G29" s="325" t="s">
        <v>25</v>
      </c>
      <c r="H29" s="72" t="s">
        <v>131</v>
      </c>
      <c r="I29" s="74">
        <v>0.16</v>
      </c>
      <c r="J29" s="76">
        <v>1299</v>
      </c>
      <c r="K29" s="79" t="str">
        <f>HYPERLINK("https://amzn.to/2OlyeAf","link*")</f>
        <v>link*</v>
      </c>
      <c r="L29" s="79" t="str">
        <f>HYPERLINK("https://www.bhphotovideo.com/c/product/1389169-REG/zeiss_000000_2218_783_loxia_25mm_f_2_4_lens.html/BI/19619/KBID/12129/kw/ZE2524L/DFF/d10-v2-t1-xZE2524L","link*")</f>
        <v>link*</v>
      </c>
      <c r="M29" s="79" t="str">
        <f>HYPERLINK("https://amzn.to/2OlyeAf","link*")</f>
        <v>link*</v>
      </c>
      <c r="N29" s="79" t="e">
        <f>HYPERLINK("http://rover.ebay.com/rover/1/711-53200-19255-0/1?icep_ff3=9&amp;pub=5575076376&amp;toolid=10001&amp;campid=5338573609&amp;customid=&amp;icep_uq=Zeissloxia+25mm&amp;icep_sellerId=&amp;icep_ex_kw=&amp;icep_sortBy=12&amp;icep_catId=3323&amp;icep_minPrice=&amp;icep_maxPrice=&amp;ipn=psmain&amp;icep_vectorid=2"&amp;"29466&amp;kwid=902099&amp;mtid=824&amp;kw=lg","link*")</f>
        <v>#VALUE!</v>
      </c>
      <c r="O29" s="84">
        <v>25</v>
      </c>
      <c r="P29" s="70" t="s">
        <v>27</v>
      </c>
      <c r="Q29" s="74">
        <v>10</v>
      </c>
      <c r="R29" s="136" t="s">
        <v>140</v>
      </c>
      <c r="S29" s="74" t="s">
        <v>87</v>
      </c>
      <c r="T29" s="125"/>
    </row>
    <row r="30" spans="1:21" ht="13" hidden="1">
      <c r="A30" s="323" t="s">
        <v>141</v>
      </c>
      <c r="B30" s="60">
        <v>965</v>
      </c>
      <c r="C30" s="67">
        <v>28</v>
      </c>
      <c r="D30" s="64">
        <v>1.4</v>
      </c>
      <c r="E30" s="194">
        <v>83</v>
      </c>
      <c r="F30" s="211">
        <v>134</v>
      </c>
      <c r="G30" s="70" t="s">
        <v>36</v>
      </c>
      <c r="H30" s="72" t="s">
        <v>80</v>
      </c>
      <c r="I30" s="74">
        <v>0.19</v>
      </c>
      <c r="J30" s="76">
        <v>1399</v>
      </c>
      <c r="K30" s="79" t="str">
        <f>HYPERLINK("https://amzn.to/2Wn0pxO","link*")</f>
        <v>link*</v>
      </c>
      <c r="L30" s="79" t="str">
        <f>HYPERLINK("https://www.bhphotovideo.com/c/product/1436285-REG/sigma_28mm_f_1_4_dg_hsm.html/BI/19619/KBID/12129/kw/SI2814DGSE/DFF/d10-v2-t1-xSI2814DGSE","link*")</f>
        <v>link*</v>
      </c>
      <c r="M30" s="79" t="str">
        <f>HYPERLINK("https://amzn.to/2WzVkHd","link*")</f>
        <v>link*</v>
      </c>
      <c r="N30" s="79"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c r="O30" s="84">
        <v>28</v>
      </c>
      <c r="P30" s="70" t="s">
        <v>27</v>
      </c>
      <c r="Q30" s="74">
        <v>9</v>
      </c>
      <c r="R30" s="136" t="s">
        <v>133</v>
      </c>
      <c r="S30" s="74" t="s">
        <v>47</v>
      </c>
      <c r="T30" s="74"/>
    </row>
    <row r="31" spans="1:21" ht="13" hidden="1">
      <c r="A31" s="196" t="str">
        <f>HYPERLINK("https://www.systemkamera-forum.de/blog/2015/05/sony-fe-28mm-f2-test-und-erfahrungsbericht/","Sony FE 2/28")</f>
        <v>Sony FE 2/28</v>
      </c>
      <c r="B31" s="60">
        <v>200</v>
      </c>
      <c r="C31" s="67">
        <v>28</v>
      </c>
      <c r="D31" s="64">
        <v>2</v>
      </c>
      <c r="E31" s="194">
        <v>60</v>
      </c>
      <c r="F31" s="211">
        <v>60</v>
      </c>
      <c r="G31" s="70" t="s">
        <v>36</v>
      </c>
      <c r="H31" s="72" t="s">
        <v>124</v>
      </c>
      <c r="I31" s="74">
        <v>0.13</v>
      </c>
      <c r="J31" s="156">
        <v>448</v>
      </c>
      <c r="K31" s="79" t="str">
        <f>HYPERLINK("https://amzn.to/2GXJWdo","link*")</f>
        <v>link*</v>
      </c>
      <c r="L31" s="79" t="str">
        <f>HYPERLINK("https://www.bhphotovideo.com/c/product/1402637-REG/sony_fe_28mm_f_2_lens.html/BI/19619/KBID/12129/kw/SO2820F/DFF/d10-v2-t1-xSO2820F","link*")</f>
        <v>link*</v>
      </c>
      <c r="M31" s="79" t="str">
        <f>HYPERLINK("http://amzn.to/2wyLOCO","link*")</f>
        <v>link*</v>
      </c>
      <c r="N31" s="79"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31" s="84">
        <v>29</v>
      </c>
      <c r="P31" s="70" t="s">
        <v>27</v>
      </c>
      <c r="Q31" s="74">
        <v>9</v>
      </c>
      <c r="R31" s="136" t="s">
        <v>91</v>
      </c>
      <c r="S31" s="74" t="s">
        <v>41</v>
      </c>
      <c r="T31" s="74" t="s">
        <v>219</v>
      </c>
    </row>
    <row r="32" spans="1:21" ht="13" hidden="1">
      <c r="A32" s="196" t="str">
        <f>HYPERLINK("https://phillipreeve.net/blog/review-tamron-28-75mm-f-2-8-di-iii-rxd-sony-e-mount/","Tamron 2.8/28-75")</f>
        <v>Tamron 2.8/28-75</v>
      </c>
      <c r="B32" s="60">
        <v>550</v>
      </c>
      <c r="C32" s="67">
        <v>28</v>
      </c>
      <c r="D32" s="64">
        <v>2.8</v>
      </c>
      <c r="E32" s="194">
        <v>73</v>
      </c>
      <c r="F32" s="211">
        <v>118</v>
      </c>
      <c r="G32" s="70" t="s">
        <v>36</v>
      </c>
      <c r="H32" s="72" t="s">
        <v>73</v>
      </c>
      <c r="I32" s="201">
        <v>0.34</v>
      </c>
      <c r="J32" s="156">
        <v>879</v>
      </c>
      <c r="K32" s="79" t="str">
        <f>HYPERLINK("https://amzn.to/2ST5uxq","link*")</f>
        <v>link*</v>
      </c>
      <c r="L32" s="79" t="str">
        <f>HYPERLINK("https://www.bhphotovideo.com/c/product/1393332-REG/tamron_a036_28_75mm_f_2_8_di_iii.html/BI/19619/KBID/12129/DFF/d10-v21-t1-x892059/SID/EZ","link*")</f>
        <v>link*</v>
      </c>
      <c r="M32" s="79" t="str">
        <f>HYPERLINK("https://amzn.to/2ZmSzdU","link*")</f>
        <v>link*</v>
      </c>
      <c r="N32" s="79"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32" s="84">
        <v>19</v>
      </c>
      <c r="P32" s="70" t="s">
        <v>27</v>
      </c>
      <c r="Q32" s="74">
        <v>9</v>
      </c>
      <c r="R32" s="136" t="s">
        <v>122</v>
      </c>
      <c r="S32" s="74" t="s">
        <v>78</v>
      </c>
      <c r="T32" s="125"/>
    </row>
    <row r="33" spans="1:21" ht="13" hidden="1">
      <c r="A33" s="323" t="s">
        <v>145</v>
      </c>
      <c r="B33" s="60">
        <v>295</v>
      </c>
      <c r="C33" s="67">
        <v>28</v>
      </c>
      <c r="D33" s="64" t="s">
        <v>146</v>
      </c>
      <c r="E33" s="194">
        <v>73</v>
      </c>
      <c r="F33" s="211">
        <v>83</v>
      </c>
      <c r="G33" s="70" t="s">
        <v>36</v>
      </c>
      <c r="H33" s="72" t="s">
        <v>147</v>
      </c>
      <c r="I33" s="74">
        <v>0.19</v>
      </c>
      <c r="J33" s="76">
        <v>398</v>
      </c>
      <c r="K33" s="79" t="str">
        <f>HYPERLINK("https://www.amazon.com/gp/product/B00FYOFADE/ref=as_li_tl?ie=UTF8&amp;tag=wwwphillipree-20&amp;camp=1789&amp;creative=9325&amp;linkCode=as2&amp;creativeASIN=B00FYOFADE&amp;linkId=96720b245156eae53bb1a672d4453d3f","link*")</f>
        <v>link*</v>
      </c>
      <c r="L33" s="79" t="str">
        <f>HYPERLINK("https://www.bhphotovideo.com/c/product/1015472-REG/sony_sel2870_fe_28_70mm_f_3_5_5_6_oss.html/BI/19619/KBID/12129/DFF/d10-v21-t1-x473993/SID/EZ","link*")</f>
        <v>link*</v>
      </c>
      <c r="M33" s="79" t="str">
        <f>HYPERLINK("https://www.amazon.de/gp/product/B00HSHFPD0/ref=as_li_tl?ie=UTF8&amp;tag=wwwphillipree-21&amp;camp=1638&amp;creative=6742&amp;linkCode=as2&amp;creativeASIN=B00HSHFPD0&amp;linkId=6701f30673f8a4071232ca85e1953506","link*")</f>
        <v>link*</v>
      </c>
      <c r="N33" s="79"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33" s="84">
        <v>30</v>
      </c>
      <c r="P33" s="134" t="s">
        <v>66</v>
      </c>
      <c r="Q33" s="74">
        <v>7</v>
      </c>
      <c r="R33" s="136" t="s">
        <v>91</v>
      </c>
      <c r="S33" s="74" t="s">
        <v>41</v>
      </c>
      <c r="T33" s="74" t="s">
        <v>222</v>
      </c>
    </row>
    <row r="34" spans="1:21" ht="13" hidden="1">
      <c r="A34" s="323" t="s">
        <v>151</v>
      </c>
      <c r="B34" s="60">
        <v>1215</v>
      </c>
      <c r="C34" s="67">
        <v>28</v>
      </c>
      <c r="D34" s="64">
        <v>4</v>
      </c>
      <c r="E34" s="194">
        <v>105</v>
      </c>
      <c r="F34" s="211">
        <v>165</v>
      </c>
      <c r="G34" s="70" t="s">
        <v>36</v>
      </c>
      <c r="H34" s="234" t="s">
        <v>152</v>
      </c>
      <c r="I34" s="125"/>
      <c r="J34" s="76">
        <v>249</v>
      </c>
      <c r="K34" s="79" t="str">
        <f>HYPERLINK("http://amzn.to/2v2kiy9","link*")</f>
        <v>link*</v>
      </c>
      <c r="L34" s="79" t="str">
        <f>HYPERLINK("https://www.bhphotovideo.com/c/product/1082051-REG/sony_selp28135g_e_pz_28_135mm_f_4.html/BI/19619/KBID/12129/DFF/d10-v21-t1-x556056/SID/EZ","link*")</f>
        <v>link*</v>
      </c>
      <c r="M34" s="79" t="str">
        <f>HYPERLINK("http://amzn.to/2wlpg9b","link*")</f>
        <v>link*</v>
      </c>
      <c r="N34" s="79"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34" s="84">
        <v>40</v>
      </c>
      <c r="P34" s="134" t="s">
        <v>66</v>
      </c>
      <c r="Q34" s="74">
        <v>9</v>
      </c>
      <c r="R34" s="136" t="s">
        <v>153</v>
      </c>
      <c r="S34" s="74" t="s">
        <v>41</v>
      </c>
      <c r="T34" s="74" t="s">
        <v>224</v>
      </c>
      <c r="U34" s="77" t="s">
        <v>154</v>
      </c>
    </row>
    <row r="35" spans="1:21" ht="15.75" hidden="1" customHeight="1">
      <c r="A35" s="327" t="str">
        <f>HYPERLINK("https://phillipreeve.net/blog/review-sigma-35mm-1-2-art-dg-dn/","Sigma Art 1.2/35")</f>
        <v>Sigma Art 1.2/35</v>
      </c>
      <c r="B35" s="60">
        <v>1090</v>
      </c>
      <c r="C35" s="67">
        <v>35</v>
      </c>
      <c r="D35" s="235">
        <v>1.2</v>
      </c>
      <c r="E35" s="194">
        <v>88</v>
      </c>
      <c r="F35" s="211">
        <v>136</v>
      </c>
      <c r="G35" s="74" t="s">
        <v>36</v>
      </c>
      <c r="H35" s="236" t="s">
        <v>68</v>
      </c>
      <c r="I35" s="74">
        <v>0.19</v>
      </c>
      <c r="J35" s="76">
        <v>1499</v>
      </c>
      <c r="K35" s="79" t="str">
        <f>HYPERLINK("https://amzn.to/2LiHhxc","link*")</f>
        <v>link*</v>
      </c>
      <c r="L35" s="79" t="str">
        <f>HYPERLINK("https://www.bhphotovideo.com/c/product/1492967-REG/sigma_341969_35mm_f_1_2_dg_dn.html/BI/19619/KBID/12129/DFF/d10-v21-t1-x976038/SID/EZ","link*")</f>
        <v>link*</v>
      </c>
      <c r="M35" s="113"/>
      <c r="N35" s="79"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c r="O35" s="84">
        <v>30</v>
      </c>
      <c r="P35" s="70" t="s">
        <v>27</v>
      </c>
      <c r="Q35" s="74">
        <v>11</v>
      </c>
      <c r="R35" s="112">
        <v>43816</v>
      </c>
      <c r="S35" s="74" t="s">
        <v>47</v>
      </c>
      <c r="T35" s="74" t="s">
        <v>216</v>
      </c>
    </row>
    <row r="36" spans="1:21" ht="13" hidden="1">
      <c r="A36" s="196" t="str">
        <f>HYPERLINK("https://phillipreeve.net/blog/review-sony-fe-35mm-1-4-za/","Sony ZA 1.4/35")</f>
        <v>Sony ZA 1.4/35</v>
      </c>
      <c r="B36" s="60">
        <v>630</v>
      </c>
      <c r="C36" s="67">
        <v>35</v>
      </c>
      <c r="D36" s="64">
        <v>1.4</v>
      </c>
      <c r="E36" s="194">
        <v>79</v>
      </c>
      <c r="F36" s="211">
        <v>112</v>
      </c>
      <c r="G36" s="74" t="s">
        <v>36</v>
      </c>
      <c r="H36" s="72" t="s">
        <v>64</v>
      </c>
      <c r="I36" s="74">
        <v>0.18</v>
      </c>
      <c r="J36" s="76">
        <v>1599</v>
      </c>
      <c r="K36" s="79" t="str">
        <f>HYPERLINK("https://amzn.to/2LRSMOS","link*")</f>
        <v>link*</v>
      </c>
      <c r="L36" s="79" t="str">
        <f>HYPERLINK("https://www.bhphotovideo.com/c/product/1126137-REG/sony_sel35f14z_distagon_t_fe_35mm.html/BI/19619/KBID/12129/DFF/d10-v21-t1-x612725/SID/EZ","link*")</f>
        <v>link*</v>
      </c>
      <c r="M36" s="79" t="str">
        <f>HYPERLINK("https://amzn.to/2ZmfSnX","link*")</f>
        <v>link*</v>
      </c>
      <c r="N36" s="79"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36" s="84">
        <v>30</v>
      </c>
      <c r="P36" s="70" t="s">
        <v>27</v>
      </c>
      <c r="Q36" s="74">
        <v>9</v>
      </c>
      <c r="R36" s="112">
        <v>43689</v>
      </c>
      <c r="S36" s="74" t="s">
        <v>41</v>
      </c>
      <c r="T36" s="74" t="s">
        <v>219</v>
      </c>
    </row>
    <row r="37" spans="1:21" ht="13" hidden="1">
      <c r="A37" s="323" t="s">
        <v>155</v>
      </c>
      <c r="B37" s="60">
        <v>645</v>
      </c>
      <c r="C37" s="67">
        <v>35</v>
      </c>
      <c r="D37" s="64">
        <v>1.4</v>
      </c>
      <c r="E37" s="194">
        <v>76</v>
      </c>
      <c r="F37" s="216">
        <v>115</v>
      </c>
      <c r="G37" s="74" t="s">
        <v>36</v>
      </c>
      <c r="H37" s="72" t="s">
        <v>73</v>
      </c>
      <c r="I37" s="74">
        <v>0.17</v>
      </c>
      <c r="J37" s="76">
        <v>799</v>
      </c>
      <c r="K37" s="79" t="str">
        <f>HYPERLINK("https://amzn.to/2K8DDXH","link*")</f>
        <v>link*</v>
      </c>
      <c r="L37" s="79" t="str">
        <f t="shared" ref="L37:L38" si="0">HYPERLINK("https://www.bhphotovideo.com/c/product/1381712-REG/voigtlander_nokton_classic_35mm_f_1_4.html/BI/19619/KBID/12129/DFF/d10-v21-t1-x877353/SID/EZ","link*")</f>
        <v>link*</v>
      </c>
      <c r="M37" s="79" t="str">
        <f>HYPERLINK("https://amzn.to/2Zhl3FI","link*")</f>
        <v>link*</v>
      </c>
      <c r="N37" s="79"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37" s="84">
        <v>30</v>
      </c>
      <c r="P37" s="70" t="s">
        <v>27</v>
      </c>
      <c r="Q37" s="74">
        <v>9</v>
      </c>
      <c r="R37" s="112">
        <v>43719</v>
      </c>
      <c r="S37" s="74" t="s">
        <v>38</v>
      </c>
      <c r="T37" s="125"/>
      <c r="U37" s="77" t="s">
        <v>156</v>
      </c>
    </row>
    <row r="38" spans="1:21" ht="13" hidden="1">
      <c r="A38" s="196" t="str">
        <f>HYPERLINK("https://phillipreeve.net/blog/review-voigtlander-35mm-1-4-nokton-e-classic/","Voigtlander 35mm F1.4 Nokton Classic")</f>
        <v>Voigtlander 35mm F1.4 Nokton Classic</v>
      </c>
      <c r="B38" s="60">
        <v>262</v>
      </c>
      <c r="C38" s="67">
        <v>35</v>
      </c>
      <c r="D38" s="64">
        <v>1.4</v>
      </c>
      <c r="E38" s="194">
        <v>67</v>
      </c>
      <c r="F38" s="216">
        <v>40</v>
      </c>
      <c r="G38" s="328" t="s">
        <v>25</v>
      </c>
      <c r="H38" s="72" t="s">
        <v>71</v>
      </c>
      <c r="I38" s="74">
        <v>0.16</v>
      </c>
      <c r="J38" s="76">
        <v>799</v>
      </c>
      <c r="K38" s="79" t="str">
        <f>HYPERLINK("https://amzn.to/2M1M8WH","link*")</f>
        <v>link*</v>
      </c>
      <c r="L38" s="79" t="str">
        <f t="shared" si="0"/>
        <v>link*</v>
      </c>
      <c r="M38" s="79" t="str">
        <f>HYPERLINK("https://amzn.to/2ZswTZ3","link*")</f>
        <v>link*</v>
      </c>
      <c r="N38" s="79"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c r="O38" s="84">
        <v>30</v>
      </c>
      <c r="P38" s="70" t="s">
        <v>27</v>
      </c>
      <c r="Q38" s="74">
        <v>10</v>
      </c>
      <c r="R38" s="112">
        <v>43624</v>
      </c>
      <c r="S38" s="74" t="s">
        <v>29</v>
      </c>
      <c r="T38" s="74" t="s">
        <v>226</v>
      </c>
    </row>
    <row r="39" spans="1:21" ht="15.75" hidden="1" customHeight="1">
      <c r="A39" s="196" t="str">
        <f>HYPERLINK("https://phillipreeve.net/blog/review-sigma-35mm-1-4-art/","Sigma Art 1.4/35")</f>
        <v>Sigma Art 1.4/35</v>
      </c>
      <c r="B39" s="60">
        <v>740</v>
      </c>
      <c r="C39" s="67">
        <v>35</v>
      </c>
      <c r="D39" s="64">
        <v>1.4</v>
      </c>
      <c r="E39" s="194">
        <v>77</v>
      </c>
      <c r="F39" s="216">
        <v>94</v>
      </c>
      <c r="G39" s="74" t="s">
        <v>36</v>
      </c>
      <c r="H39" s="72" t="s">
        <v>73</v>
      </c>
      <c r="I39" s="74">
        <v>0.19</v>
      </c>
      <c r="J39" s="156">
        <v>899</v>
      </c>
      <c r="K39" s="79" t="str">
        <f>HYPERLINK("https://amzn.to/2LOaQcZ","link*")</f>
        <v>link*</v>
      </c>
      <c r="L39" s="79" t="str">
        <f>HYPERLINK("https://www.bhphotovideo.com/c/product/1393492-REG/sigma_35mm_f_1_4_dg_hsm.html/BI/19619/KBID/12129/DFF/d10-v21-t1-x881157/SID/EZ","link*")</f>
        <v>link*</v>
      </c>
      <c r="M39" s="79" t="str">
        <f>HYPERLINK("https://amzn.to/2ZrfakE","link*")</f>
        <v>link*</v>
      </c>
      <c r="N39" s="79"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O39" s="84">
        <v>30</v>
      </c>
      <c r="P39" s="70" t="s">
        <v>27</v>
      </c>
      <c r="Q39" s="74">
        <v>9</v>
      </c>
      <c r="R39" s="112">
        <v>43782</v>
      </c>
      <c r="S39" s="74" t="s">
        <v>47</v>
      </c>
      <c r="T39" s="125"/>
      <c r="U39" s="77" t="s">
        <v>48</v>
      </c>
    </row>
    <row r="40" spans="1:21" ht="13" hidden="1">
      <c r="A40" s="337" t="s">
        <v>157</v>
      </c>
      <c r="B40" s="60">
        <v>280</v>
      </c>
      <c r="C40" s="67">
        <v>35</v>
      </c>
      <c r="D40" s="64">
        <v>1.8</v>
      </c>
      <c r="E40" s="194">
        <v>66</v>
      </c>
      <c r="F40" s="216">
        <v>73</v>
      </c>
      <c r="G40" s="74" t="s">
        <v>36</v>
      </c>
      <c r="H40" s="72" t="s">
        <v>147</v>
      </c>
      <c r="I40" s="239">
        <v>0.24</v>
      </c>
      <c r="J40" s="76">
        <v>749</v>
      </c>
      <c r="K40" s="113"/>
      <c r="L40" s="79" t="str">
        <f>HYPERLINK("https://www.bhphotovideo.com/c/product/1492866-REG/sony_sel35f18f_35mm_f_1_8_fe_lens.html/BI/19619/KBID/12129/DFF/d10-v21-t1-x975763/SID/EZ","link*")</f>
        <v>link*</v>
      </c>
      <c r="M40" s="79" t="str">
        <f>HYPERLINK("https://amzn.to/2PiATLC","link*")</f>
        <v>link*</v>
      </c>
      <c r="N40" s="79"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40" s="84">
        <v>22</v>
      </c>
      <c r="P40" s="70" t="s">
        <v>27</v>
      </c>
      <c r="Q40" s="74">
        <v>9</v>
      </c>
      <c r="R40" s="112">
        <v>43719</v>
      </c>
      <c r="S40" s="74" t="s">
        <v>41</v>
      </c>
      <c r="T40" s="74" t="s">
        <v>216</v>
      </c>
    </row>
    <row r="41" spans="1:21" ht="13" hidden="1">
      <c r="A41" s="196" t="str">
        <f>HYPERLINK("https://phillipreeve.net/blog/review-zeiss-loxia-35mm-2-0/","Zeiss Loxia 2/35 Biogon T*")</f>
        <v>Zeiss Loxia 2/35 Biogon T*</v>
      </c>
      <c r="B41" s="60">
        <v>340</v>
      </c>
      <c r="C41" s="67">
        <v>35</v>
      </c>
      <c r="D41" s="64">
        <v>2</v>
      </c>
      <c r="E41" s="194">
        <v>62</v>
      </c>
      <c r="F41" s="211">
        <v>66</v>
      </c>
      <c r="G41" s="328" t="s">
        <v>25</v>
      </c>
      <c r="H41" s="72" t="s">
        <v>131</v>
      </c>
      <c r="I41" s="74">
        <v>0.17</v>
      </c>
      <c r="J41" s="76">
        <v>1299</v>
      </c>
      <c r="K41" s="79" t="str">
        <f>HYPERLINK("https://amzn.to/2T2sJWe","link*")</f>
        <v>link*</v>
      </c>
      <c r="L41" s="79" t="str">
        <f>HYPERLINK("https://www.bhphotovideo.com/c/product/1080388-REG/zeiss_2103_749_loxia_35mm_f_2_biogon.html/BI/19619/KBID/12129/DFF/d10-v21-t1-x553792/SID/EZ","link*")</f>
        <v>link*</v>
      </c>
      <c r="M41" s="113" t="s">
        <v>51</v>
      </c>
      <c r="N41" s="79"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O41" s="84">
        <v>30</v>
      </c>
      <c r="P41" s="70" t="s">
        <v>27</v>
      </c>
      <c r="Q41" s="74">
        <v>10</v>
      </c>
      <c r="R41" s="112">
        <v>43625</v>
      </c>
      <c r="S41" s="74" t="s">
        <v>87</v>
      </c>
      <c r="T41" s="125"/>
      <c r="U41" s="77" t="s">
        <v>166</v>
      </c>
    </row>
    <row r="42" spans="1:21" ht="13" hidden="1">
      <c r="A42" s="196" t="str">
        <f>HYPERLINK("http://www.photozone.de/sonyalphaff/865-zeiss35f28ff","Sony ZA 2.8/35")</f>
        <v>Sony ZA 2.8/35</v>
      </c>
      <c r="B42" s="60">
        <v>120</v>
      </c>
      <c r="C42" s="67">
        <v>35</v>
      </c>
      <c r="D42" s="64">
        <v>2.8</v>
      </c>
      <c r="E42" s="194">
        <v>62</v>
      </c>
      <c r="F42" s="211">
        <v>37</v>
      </c>
      <c r="G42" s="74" t="s">
        <v>36</v>
      </c>
      <c r="H42" s="72" t="s">
        <v>124</v>
      </c>
      <c r="I42" s="74">
        <v>0.12</v>
      </c>
      <c r="J42" s="76">
        <v>798</v>
      </c>
      <c r="K42" s="79" t="str">
        <f>HYPERLINK("https://amzn.to/2yvhL24","link*")</f>
        <v>link*</v>
      </c>
      <c r="L42" s="79" t="str">
        <f>HYPERLINK("https://www.bhphotovideo.com/c/product/1008123-REG/sony_sel35f28z_sonnar_t_fe_35mm.html/BI/19619/KBID/12129/DFF/d10-v21-t1-x466840/SID/EZ","link*")</f>
        <v>link*</v>
      </c>
      <c r="M42" s="113" t="s">
        <v>51</v>
      </c>
      <c r="N42" s="79"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42" s="84">
        <v>35</v>
      </c>
      <c r="P42" s="70" t="s">
        <v>27</v>
      </c>
      <c r="Q42" s="74">
        <v>9</v>
      </c>
      <c r="R42" s="112">
        <v>43592</v>
      </c>
      <c r="S42" s="74" t="s">
        <v>41</v>
      </c>
      <c r="T42" s="74" t="s">
        <v>227</v>
      </c>
    </row>
    <row r="43" spans="1:21" ht="13" hidden="1">
      <c r="A43" s="323" t="s">
        <v>158</v>
      </c>
      <c r="B43" s="60">
        <v>86</v>
      </c>
      <c r="C43" s="67">
        <v>35</v>
      </c>
      <c r="D43" s="64">
        <v>2.8</v>
      </c>
      <c r="E43" s="194">
        <v>62</v>
      </c>
      <c r="F43" s="211">
        <v>33</v>
      </c>
      <c r="G43" s="74" t="s">
        <v>36</v>
      </c>
      <c r="H43" s="72" t="s">
        <v>124</v>
      </c>
      <c r="I43" s="74">
        <v>0.12</v>
      </c>
      <c r="J43" s="241">
        <v>399</v>
      </c>
      <c r="K43" s="79" t="str">
        <f t="shared" ref="K43:K44" si="1">HYPERLINK("https://amzn.to/2MGKrxp","link*")</f>
        <v>link*</v>
      </c>
      <c r="L43" s="79" t="str">
        <f>HYPERLINK("https://www.bhphotovideo.com/c/product/1348365-REG/samyang_syio35af_e_35mm_f2_8_compact_wide.html/BI/19619/KBID/12129/DFF/d10-v21-t1-x832776/SID/EZ","link*")</f>
        <v>link*</v>
      </c>
      <c r="M43" s="113" t="s">
        <v>51</v>
      </c>
      <c r="N43" s="79"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43" s="84">
        <v>35</v>
      </c>
      <c r="P43" s="70" t="s">
        <v>27</v>
      </c>
      <c r="Q43" s="74">
        <v>9</v>
      </c>
      <c r="R43" s="112">
        <v>43623</v>
      </c>
      <c r="S43" s="74" t="s">
        <v>38</v>
      </c>
      <c r="T43" s="74" t="s">
        <v>228</v>
      </c>
    </row>
    <row r="44" spans="1:21" ht="13" hidden="1">
      <c r="A44" s="196" t="str">
        <f>HYPERLINK("https://phillipreeve.net/blog/voigtlander-40mm-f1-2-nokton-aspherical-rolling-review/","Voigtlander 40mm F1.2 Nokton")</f>
        <v>Voigtlander 40mm F1.2 Nokton</v>
      </c>
      <c r="B44" s="60">
        <v>420</v>
      </c>
      <c r="C44" s="67">
        <v>40</v>
      </c>
      <c r="D44" s="304">
        <v>1.2</v>
      </c>
      <c r="E44" s="194">
        <v>70</v>
      </c>
      <c r="F44" s="211">
        <v>59</v>
      </c>
      <c r="G44" s="328" t="s">
        <v>25</v>
      </c>
      <c r="H44" s="72" t="s">
        <v>71</v>
      </c>
      <c r="I44" s="74">
        <v>0.16</v>
      </c>
      <c r="J44" s="76">
        <v>1099</v>
      </c>
      <c r="K44" s="79" t="str">
        <f t="shared" si="1"/>
        <v>link*</v>
      </c>
      <c r="L44" s="79" t="str">
        <f>HYPERLINK("https://www.bhphotovideo.com/c/product/1362557-REG/voigtlander_nokton_40mm_f_1_2_aspherical.html/BI/19619/KBID/12129/DFF/d10-v21-t1-x851241/SID/EZ","link*")</f>
        <v>link*</v>
      </c>
      <c r="M44" s="113" t="s">
        <v>51</v>
      </c>
      <c r="N44" s="79"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c r="O44" s="84">
        <v>35</v>
      </c>
      <c r="P44" s="70" t="s">
        <v>27</v>
      </c>
      <c r="Q44" s="74">
        <v>10</v>
      </c>
      <c r="R44" s="112">
        <v>43624</v>
      </c>
      <c r="S44" s="74" t="s">
        <v>29</v>
      </c>
      <c r="T44" s="74" t="s">
        <v>229</v>
      </c>
    </row>
    <row r="45" spans="1:21" ht="13" hidden="1">
      <c r="A45" s="196" t="str">
        <f>HYPERLINK("https://phillipreeve.net/blog/review-sigma-40mm-1-4-art/","Sigma Art 1.4/40")</f>
        <v>Sigma Art 1.4/40</v>
      </c>
      <c r="B45" s="60">
        <v>1200</v>
      </c>
      <c r="C45" s="67">
        <v>40</v>
      </c>
      <c r="D45" s="64">
        <v>1.4</v>
      </c>
      <c r="E45" s="194">
        <v>88</v>
      </c>
      <c r="F45" s="216">
        <v>157</v>
      </c>
      <c r="G45" s="74" t="s">
        <v>36</v>
      </c>
      <c r="H45" s="244" t="s">
        <v>68</v>
      </c>
      <c r="I45" s="74">
        <v>0.15</v>
      </c>
      <c r="J45" s="76">
        <v>1399</v>
      </c>
      <c r="K45" s="79" t="str">
        <f>HYPERLINK("https://amzn.to/2SYXFXq","link*")</f>
        <v>link*</v>
      </c>
      <c r="L45" s="79" t="str">
        <f>HYPERLINK("https://www.bhphotovideo.com/c/product/1436292-REG/sigma_40mm_f_1_4_dg_hsm.html/BI/19619/KBID/12129/DFF/d10-v21-t1-x925196/SID/EZ","link*")</f>
        <v>link*</v>
      </c>
      <c r="M45" s="113" t="s">
        <v>51</v>
      </c>
      <c r="N45" s="79"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O45" s="84">
        <v>40</v>
      </c>
      <c r="P45" s="70" t="s">
        <v>27</v>
      </c>
      <c r="Q45" s="74">
        <v>9</v>
      </c>
      <c r="R45" s="112">
        <v>43815</v>
      </c>
      <c r="S45" s="74" t="s">
        <v>47</v>
      </c>
      <c r="T45" s="125"/>
      <c r="U45" s="77" t="s">
        <v>48</v>
      </c>
    </row>
    <row r="46" spans="1:21" ht="13" hidden="1">
      <c r="A46" s="196" t="str">
        <f>HYPERLINK("https://phillipreeve.net/blog/review-zeiss-batis-2-40-cf/","Zeiss Batis 2/40 CF T*")</f>
        <v>Zeiss Batis 2/40 CF T*</v>
      </c>
      <c r="B46" s="60">
        <v>361</v>
      </c>
      <c r="C46" s="67">
        <v>40</v>
      </c>
      <c r="D46" s="64">
        <v>2</v>
      </c>
      <c r="E46" s="194">
        <v>91</v>
      </c>
      <c r="F46" s="216">
        <v>93</v>
      </c>
      <c r="G46" s="74" t="s">
        <v>36</v>
      </c>
      <c r="H46" s="72" t="s">
        <v>73</v>
      </c>
      <c r="I46" s="239">
        <v>0.3</v>
      </c>
      <c r="J46" s="76">
        <v>1299</v>
      </c>
      <c r="K46" s="79" t="str">
        <f>HYPERLINK("https://amzn.to/2LUN0MF","link*")</f>
        <v>link*</v>
      </c>
      <c r="L46" s="79" t="str">
        <f>HYPERLINK("https://www.bhphotovideo.com/c/product/1436738-REG/zeiss_000000_2239_137_batis_40mm_f_2_cf.html/BI/19619/KBID/12129/DFF/d10-v21-t1-x915694/SID/EZ","link*")</f>
        <v>link*</v>
      </c>
      <c r="M46" s="113" t="s">
        <v>51</v>
      </c>
      <c r="N46" s="79"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46" s="84">
        <v>24</v>
      </c>
      <c r="P46" s="70" t="s">
        <v>27</v>
      </c>
      <c r="Q46" s="74">
        <v>9</v>
      </c>
      <c r="R46" s="112">
        <v>43686</v>
      </c>
      <c r="S46" s="74" t="s">
        <v>87</v>
      </c>
      <c r="T46" s="125"/>
      <c r="U46" s="77" t="s">
        <v>159</v>
      </c>
    </row>
    <row r="47" spans="1:21" ht="13" hidden="1">
      <c r="A47" s="337" t="s">
        <v>160</v>
      </c>
      <c r="B47" s="60">
        <v>162</v>
      </c>
      <c r="C47" s="67">
        <v>45</v>
      </c>
      <c r="D47" s="64">
        <v>1.8</v>
      </c>
      <c r="E47" s="194">
        <v>62</v>
      </c>
      <c r="F47" s="216">
        <v>56</v>
      </c>
      <c r="G47" s="74" t="s">
        <v>36</v>
      </c>
      <c r="H47" s="72" t="s">
        <v>124</v>
      </c>
      <c r="I47" s="74">
        <v>0.12</v>
      </c>
      <c r="J47" s="184">
        <v>399</v>
      </c>
      <c r="K47" s="79" t="str">
        <f>HYPERLINK("https://amzn.to/2YC6MST","link*")</f>
        <v>link*</v>
      </c>
      <c r="L47" s="79" t="str">
        <f>HYPERLINK("https://www.bhphotovideo.com/c/product/1478738-REG/samyang_af_45mm_f_1_8_fe.html/BI/19619/KBID/12129/DFF/d10-v21-t1-x964329/SID/EZ","link*")</f>
        <v>link*</v>
      </c>
      <c r="M47" s="113" t="s">
        <v>51</v>
      </c>
      <c r="N47" s="79"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47" s="84">
        <v>45</v>
      </c>
      <c r="P47" s="70" t="s">
        <v>27</v>
      </c>
      <c r="Q47" s="74">
        <v>9</v>
      </c>
      <c r="R47" s="112">
        <v>43623</v>
      </c>
      <c r="S47" s="74" t="s">
        <v>38</v>
      </c>
      <c r="T47" s="125"/>
    </row>
    <row r="48" spans="1:21" ht="13" hidden="1">
      <c r="A48" s="337" t="s">
        <v>161</v>
      </c>
      <c r="B48" s="60">
        <v>215</v>
      </c>
      <c r="C48" s="67">
        <v>45</v>
      </c>
      <c r="D48" s="64">
        <v>2.8</v>
      </c>
      <c r="E48" s="194">
        <v>64</v>
      </c>
      <c r="F48" s="211">
        <v>46</v>
      </c>
      <c r="G48" s="74" t="s">
        <v>36</v>
      </c>
      <c r="H48" s="72" t="s">
        <v>147</v>
      </c>
      <c r="I48" s="201">
        <v>0.25</v>
      </c>
      <c r="J48" s="76">
        <v>549</v>
      </c>
      <c r="K48" s="79" t="str">
        <f>HYPERLINK("https://amzn.to/2SYEvAX","link*")</f>
        <v>link*</v>
      </c>
      <c r="L48" s="79" t="str">
        <f>HYPERLINK("https://www.bhphotovideo.com/c/product/1492966-REG/sigma_360965_45mm_f_2_8_dg_dn.html/BI/19619/KBID/12129/DFF/d10-v21-t1-x976020/SID/EZ","link*")</f>
        <v>link*</v>
      </c>
      <c r="M48" s="113" t="s">
        <v>51</v>
      </c>
      <c r="N48" s="79"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O48" s="84">
        <v>24</v>
      </c>
      <c r="P48" s="70" t="s">
        <v>27</v>
      </c>
      <c r="Q48" s="74">
        <v>7</v>
      </c>
      <c r="R48" s="112">
        <v>43654</v>
      </c>
      <c r="S48" s="74" t="s">
        <v>47</v>
      </c>
      <c r="T48" s="74" t="s">
        <v>216</v>
      </c>
    </row>
    <row r="49" spans="1:21" ht="13" hidden="1">
      <c r="A49" s="196" t="str">
        <f>HYPERLINK("https://phillipreeve.net/blog/review-voigtlander-50mm-1-2-nokton-e/","Voigtlander 50mm F1.2 Nokton")</f>
        <v>Voigtlander 50mm F1.2 Nokton</v>
      </c>
      <c r="B49" s="60">
        <v>440</v>
      </c>
      <c r="C49" s="67">
        <v>50</v>
      </c>
      <c r="D49" s="304">
        <v>1.2</v>
      </c>
      <c r="E49" s="194">
        <v>70</v>
      </c>
      <c r="F49" s="211">
        <v>58</v>
      </c>
      <c r="G49" s="328" t="s">
        <v>25</v>
      </c>
      <c r="H49" s="72" t="s">
        <v>71</v>
      </c>
      <c r="I49" s="125"/>
      <c r="J49" s="76">
        <v>1099</v>
      </c>
      <c r="K49" s="79" t="str">
        <f>HYPERLINK("https://amzn.to/2OAfE7N","link*")</f>
        <v>link*</v>
      </c>
      <c r="L49" s="79" t="str">
        <f>HYPERLINK("https://www.bhphotovideo.com/c/product/1433349-REG/voigtlander_ba348a_nokton_50mm_f_1_2_aspherical.html/BI/19619/KBID/12129/DFF/d10-v21-t1-x915623/SID/EZ","link*")</f>
        <v>link*</v>
      </c>
      <c r="M49" s="113" t="s">
        <v>51</v>
      </c>
      <c r="N49" s="79" t="e">
        <f>HYPERLINK("http://rover.ebay.com/rover/1/711-53200-19255-0/1?icep_ff3=9&amp;pub=5575076376&amp;toolid=10001&amp;campid=5338164340&amp;customid=&amp;icep_uq=sony+50+1.2&amp;icep_sellerId=&amp;icep_ex_kw=&amp;icep_sortBy=12&amp;icep_catId=3323&amp;icep_minPrice=&amp;icep_maxPrice=&amp;ipn=psmain&amp;icep_vectorid=22946"&amp;"6&amp;kwid=902099&amp;mtid=824&amp;kw=lg","link*")</f>
        <v>#VALUE!</v>
      </c>
      <c r="O49" s="84">
        <v>45</v>
      </c>
      <c r="P49" s="70" t="s">
        <v>27</v>
      </c>
      <c r="Q49" s="74">
        <v>12</v>
      </c>
      <c r="R49" s="112">
        <v>43624</v>
      </c>
      <c r="S49" s="74" t="s">
        <v>29</v>
      </c>
      <c r="T49" s="74" t="s">
        <v>230</v>
      </c>
    </row>
    <row r="50" spans="1:21" ht="13" hidden="1">
      <c r="A50" s="323" t="s">
        <v>163</v>
      </c>
      <c r="B50" s="60">
        <v>778</v>
      </c>
      <c r="C50" s="67">
        <v>50</v>
      </c>
      <c r="D50" s="64">
        <v>1.4</v>
      </c>
      <c r="E50" s="194">
        <v>84</v>
      </c>
      <c r="F50" s="211">
        <v>108</v>
      </c>
      <c r="G50" s="74" t="s">
        <v>36</v>
      </c>
      <c r="H50" s="72" t="s">
        <v>64</v>
      </c>
      <c r="I50" s="74">
        <v>0.15</v>
      </c>
      <c r="J50" s="76">
        <v>1499</v>
      </c>
      <c r="K50" s="79" t="str">
        <f>HYPERLINK("https://amzn.to/2K88EL7","link*")</f>
        <v>link*</v>
      </c>
      <c r="L50" s="113" t="s">
        <v>51</v>
      </c>
      <c r="M50" s="113" t="s">
        <v>51</v>
      </c>
      <c r="N50" s="79"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50" s="84">
        <v>45</v>
      </c>
      <c r="P50" s="70" t="s">
        <v>27</v>
      </c>
      <c r="Q50" s="74">
        <v>11</v>
      </c>
      <c r="R50" s="112">
        <v>43720</v>
      </c>
      <c r="S50" s="74" t="s">
        <v>41</v>
      </c>
      <c r="T50" s="125"/>
    </row>
    <row r="51" spans="1:21" ht="13" hidden="1">
      <c r="A51" s="323" t="s">
        <v>164</v>
      </c>
      <c r="B51" s="60">
        <v>815</v>
      </c>
      <c r="C51" s="67">
        <v>50</v>
      </c>
      <c r="D51" s="64">
        <v>1.4</v>
      </c>
      <c r="E51" s="194">
        <v>85</v>
      </c>
      <c r="F51" s="211">
        <v>100</v>
      </c>
      <c r="G51" s="74" t="s">
        <v>36</v>
      </c>
      <c r="H51" s="72" t="s">
        <v>80</v>
      </c>
      <c r="I51" s="74">
        <v>0.18</v>
      </c>
      <c r="J51" s="76">
        <v>949</v>
      </c>
      <c r="K51" s="79" t="str">
        <f>HYPERLINK("https://amzn.to/2K4JmyT","link*")</f>
        <v>link*</v>
      </c>
      <c r="L51" s="79" t="str">
        <f>HYPERLINK("https://www.bhphotovideo.com/c/product/1393493-REG/sigma_50mm_f_1_4_dg_hsm.html/BI/19619/KBID/12129/kw/SI5014SO/DFF/d10-v2-t1-xSI5014SO","link*")</f>
        <v>link*</v>
      </c>
      <c r="M51" s="79" t="str">
        <f>HYPERLINK("https://amzn.to/2Wpdoz5","link*")</f>
        <v>link*</v>
      </c>
      <c r="N51" s="79" t="e">
        <f>HYPERLINK("http://rover.ebay.com/rover/1/711-53200-19255-0/1?icep_ff3=9&amp;pub=5575076376&amp;toolid=10001&amp;campid=5338164340&amp;customid=&amp;icep_uq=sony+50+1.4+za+-ssm&amp;icep_sellerId=&amp;icep_ex_kw=&amp;icep_sortBy=12&amp;icep_catId=3323&amp;icep_minPrice=&amp;icep_maxPrice=&amp;ipn=psmain&amp;icep_vector"&amp;"id=229466&amp;kwid=902099&amp;mtid=824&amp;kw=lg","link*")</f>
        <v>#VALUE!</v>
      </c>
      <c r="O51" s="84">
        <v>40</v>
      </c>
      <c r="P51" s="70" t="s">
        <v>27</v>
      </c>
      <c r="Q51" s="74">
        <v>9</v>
      </c>
      <c r="R51" s="343"/>
      <c r="S51" s="74" t="s">
        <v>47</v>
      </c>
      <c r="T51" s="125"/>
      <c r="U51" s="77" t="s">
        <v>48</v>
      </c>
    </row>
    <row r="52" spans="1:21" ht="13" hidden="1">
      <c r="A52" s="323" t="s">
        <v>165</v>
      </c>
      <c r="B52" s="60">
        <v>585</v>
      </c>
      <c r="C52" s="67">
        <v>50</v>
      </c>
      <c r="D52" s="64">
        <v>1.4</v>
      </c>
      <c r="E52" s="194">
        <v>74</v>
      </c>
      <c r="F52" s="211">
        <v>98</v>
      </c>
      <c r="G52" s="74" t="s">
        <v>36</v>
      </c>
      <c r="H52" s="72" t="s">
        <v>73</v>
      </c>
      <c r="I52" s="74">
        <v>0.15</v>
      </c>
      <c r="J52" s="76">
        <v>699</v>
      </c>
      <c r="K52" s="79" t="str">
        <f>HYPERLINK("https://amzn.to/2SY1Pyr","link*")</f>
        <v>link*</v>
      </c>
      <c r="L52" s="79" t="str">
        <f>HYPERLINK("https://www.bhphotovideo.com/c/product/1352862-REG/samyang_syio50af_e_50mm_f_1_4_auto_focus.html/BI/19619/KBID/12129/DFF/d10-v21-t1-x837927/SID/EZ","link*")</f>
        <v>link*</v>
      </c>
      <c r="M52" s="113" t="s">
        <v>51</v>
      </c>
      <c r="N52" s="79"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52" s="84">
        <v>45</v>
      </c>
      <c r="P52" s="70" t="s">
        <v>27</v>
      </c>
      <c r="Q52" s="74">
        <v>9</v>
      </c>
      <c r="R52" s="112">
        <v>43686</v>
      </c>
      <c r="S52" s="74" t="s">
        <v>38</v>
      </c>
      <c r="T52" s="125"/>
    </row>
    <row r="53" spans="1:21" ht="13" hidden="1">
      <c r="A53" s="196" t="str">
        <f>HYPERLINK("https://phillipreeve.net/blog/review-sony-fe-1-850/","Sony 50mm F1.8")</f>
        <v>Sony 50mm F1.8</v>
      </c>
      <c r="B53" s="60">
        <v>186</v>
      </c>
      <c r="C53" s="67">
        <v>50</v>
      </c>
      <c r="D53" s="64">
        <v>1.8</v>
      </c>
      <c r="E53" s="194">
        <v>69</v>
      </c>
      <c r="F53" s="211">
        <v>60</v>
      </c>
      <c r="G53" s="74" t="s">
        <v>36</v>
      </c>
      <c r="H53" s="72" t="s">
        <v>124</v>
      </c>
      <c r="I53" s="74">
        <v>0.14000000000000001</v>
      </c>
      <c r="J53" s="156">
        <v>249</v>
      </c>
      <c r="K53" s="79" t="str">
        <f>HYPERLINK("http://amzn.to/2v2F5Se","link*")</f>
        <v>link*</v>
      </c>
      <c r="L53" s="79" t="str">
        <f>HYPERLINK("https://www.bhphotovideo.com/c/product/1242613-REG/sony_sel50f18f_fe_50mm_f_1_8_lens.html/BI/19619/KBID/12129/kw/SO5018F/DFF/d10-v2-t1-xSO5018F","link*")</f>
        <v>link*</v>
      </c>
      <c r="M53" s="79" t="str">
        <f>HYPERLINK("http://amzn.to/2wyHB25","link*")</f>
        <v>link*</v>
      </c>
      <c r="N53"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53" s="84">
        <v>45</v>
      </c>
      <c r="P53" s="70" t="s">
        <v>27</v>
      </c>
      <c r="Q53" s="74">
        <v>7</v>
      </c>
      <c r="R53" s="112">
        <v>43591</v>
      </c>
      <c r="S53" s="74" t="s">
        <v>41</v>
      </c>
      <c r="T53" s="74" t="s">
        <v>231</v>
      </c>
    </row>
    <row r="54" spans="1:21" ht="13" hidden="1">
      <c r="A54" s="196" t="str">
        <f>HYPERLINK("https://phillipreeve.net/blog/review-zeiss-loxia-planar-250-t/","Zeiss Loxia 50mm F2")</f>
        <v>Zeiss Loxia 50mm F2</v>
      </c>
      <c r="B54" s="60">
        <v>320</v>
      </c>
      <c r="C54" s="67">
        <v>50</v>
      </c>
      <c r="D54" s="64">
        <v>2</v>
      </c>
      <c r="E54" s="194">
        <v>62</v>
      </c>
      <c r="F54" s="211">
        <v>60</v>
      </c>
      <c r="G54" s="328" t="s">
        <v>25</v>
      </c>
      <c r="H54" s="72" t="s">
        <v>131</v>
      </c>
      <c r="I54" s="74">
        <v>0.15</v>
      </c>
      <c r="J54" s="76">
        <v>949</v>
      </c>
      <c r="K54" s="79" t="str">
        <f>HYPERLINK("http://amzn.to/2faVsIu","link*")</f>
        <v>link*</v>
      </c>
      <c r="L54" s="79" t="str">
        <f>HYPERLINK("https://www.bhphotovideo.com/c/product/1080387-REG/zeiss_2103_748_loxia_50mm_f_2_planar.html/BI/19619/KBID/12129/kw/ZE502LFE/DFF/d10-v2-t1-xZE502LFE","link*")</f>
        <v>link*</v>
      </c>
      <c r="M54" s="79" t="str">
        <f>HYPERLINK("http://amzn.to/2wyJAU4","link*")</f>
        <v>link*</v>
      </c>
      <c r="N54" s="79"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O54" s="84">
        <v>45</v>
      </c>
      <c r="P54" s="70" t="s">
        <v>27</v>
      </c>
      <c r="Q54" s="74">
        <v>10</v>
      </c>
      <c r="R54" s="112">
        <v>43561</v>
      </c>
      <c r="S54" s="74" t="s">
        <v>87</v>
      </c>
      <c r="T54" s="125"/>
      <c r="U54" s="77" t="s">
        <v>166</v>
      </c>
    </row>
    <row r="55" spans="1:21" ht="13" hidden="1">
      <c r="A55" s="345" t="str">
        <f>HYPERLINK("https://phillipreeve.net/blog/review-voigtlander-10mm-5-6-e-hyper-wide-heliar/","Voigtlander 10mm F5.6 Hyper Wide ")</f>
        <v xml:space="preserve">Voigtlander 10mm F5.6 Hyper Wide </v>
      </c>
      <c r="B55" s="249">
        <v>375</v>
      </c>
      <c r="C55" s="346">
        <v>10</v>
      </c>
      <c r="D55" s="347">
        <v>5.6</v>
      </c>
      <c r="E55" s="349">
        <v>67</v>
      </c>
      <c r="F55" s="350" t="s">
        <v>24</v>
      </c>
      <c r="G55" s="351" t="s">
        <v>25</v>
      </c>
      <c r="H55" s="255" t="s">
        <v>26</v>
      </c>
      <c r="I55" s="255">
        <v>6.7000000000000004E-2</v>
      </c>
      <c r="J55" s="352">
        <v>1099</v>
      </c>
      <c r="K55" s="353" t="str">
        <f>HYPERLINK("https://amzn.to/2jJ8WxH","link*")</f>
        <v>link*</v>
      </c>
      <c r="L55" s="353" t="str">
        <f>HYPERLINK("https://www.bhphotovideo.com/c/product/1219550-REG/voigtlander_ba334b_heliar_hyper_wide_10mm_f_5_6.html/BI/19619/KBID/12129/DFF/d10-v21-t1-x732282/SID/EZ","link*")</f>
        <v>link*</v>
      </c>
      <c r="M55" s="353" t="str">
        <f>HYPERLINK("https://amzn.to/2jG72hr","link*")</f>
        <v>link*</v>
      </c>
      <c r="N55" s="353"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O55" s="354">
        <v>30</v>
      </c>
      <c r="P55" s="254" t="s">
        <v>27</v>
      </c>
      <c r="Q55" s="255">
        <v>10</v>
      </c>
      <c r="R55" s="355" t="s">
        <v>28</v>
      </c>
      <c r="S55" s="260" t="s">
        <v>29</v>
      </c>
      <c r="T55" s="356">
        <v>42552</v>
      </c>
      <c r="U55" s="357" t="s">
        <v>34</v>
      </c>
    </row>
    <row r="56" spans="1:21" ht="13" hidden="1">
      <c r="A56" s="196" t="str">
        <f>HYPERLINK("https://phillipreeve.net/blog/sony-fe-1-855-za-sonnar-t-review/","Sony ZA 55mm F1.8 Sonnar")</f>
        <v>Sony ZA 55mm F1.8 Sonnar</v>
      </c>
      <c r="B56" s="60">
        <v>281</v>
      </c>
      <c r="C56" s="67">
        <v>55</v>
      </c>
      <c r="D56" s="64">
        <v>1.8</v>
      </c>
      <c r="E56" s="194">
        <v>64</v>
      </c>
      <c r="F56" s="211">
        <v>71</v>
      </c>
      <c r="G56" s="74" t="s">
        <v>36</v>
      </c>
      <c r="H56" s="72" t="s">
        <v>124</v>
      </c>
      <c r="I56" s="74">
        <v>0.14000000000000001</v>
      </c>
      <c r="J56" s="76">
        <v>999</v>
      </c>
      <c r="K56" s="79" t="str">
        <f>HYPERLINK("https://amzn.to/2ywdgEk","link*")</f>
        <v>link*</v>
      </c>
      <c r="L56" s="79" t="str">
        <f>HYPERLINK("https://www.bhphotovideo.com/c/product/1008124-REG/sony_sel55f18z_sonnar_t_fe_55mm.html/BI/19619/KBID/12129/DFF/d10-v21-t1-x466841/SID/EZ","link*")</f>
        <v>link*</v>
      </c>
      <c r="M56" s="113" t="s">
        <v>51</v>
      </c>
      <c r="N56" s="79"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56" s="84">
        <v>50</v>
      </c>
      <c r="P56" s="70" t="s">
        <v>27</v>
      </c>
      <c r="Q56" s="74">
        <v>9</v>
      </c>
      <c r="R56" s="112">
        <v>43592</v>
      </c>
      <c r="S56" s="74" t="s">
        <v>41</v>
      </c>
      <c r="T56" s="74" t="s">
        <v>222</v>
      </c>
    </row>
    <row r="57" spans="1:21" ht="13" hidden="1">
      <c r="A57" s="358" t="s">
        <v>35</v>
      </c>
      <c r="B57" s="359">
        <v>565</v>
      </c>
      <c r="C57" s="360">
        <v>12</v>
      </c>
      <c r="D57" s="361">
        <v>4</v>
      </c>
      <c r="E57" s="362">
        <v>87</v>
      </c>
      <c r="F57" s="363">
        <v>117</v>
      </c>
      <c r="G57" s="364" t="s">
        <v>36</v>
      </c>
      <c r="H57" s="365" t="s">
        <v>26</v>
      </c>
      <c r="I57" s="365">
        <v>0.14000000000000001</v>
      </c>
      <c r="J57" s="366">
        <v>1699</v>
      </c>
      <c r="K57" s="367" t="str">
        <f>HYPERLINK("https://amzn.to/2SSzKc4","link*")</f>
        <v>link*</v>
      </c>
      <c r="L57" s="367" t="str">
        <f>HYPERLINK("https://www.bhphotovideo.com/c/product/1338517-REG/sony_sel1224g_fe_12_24mm_f_4_g.html/BI/19619/KBID/12129/DFF/d10-v21-t1-x822838/SID/EZ","link*")</f>
        <v>link*</v>
      </c>
      <c r="M57" s="367" t="str">
        <f>HYPERLINK("https://amzn.to/2Kg94zb","link*")</f>
        <v>link*</v>
      </c>
      <c r="N57" s="367"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57" s="368">
        <v>24</v>
      </c>
      <c r="P57" s="364" t="s">
        <v>27</v>
      </c>
      <c r="Q57" s="365">
        <v>7</v>
      </c>
      <c r="R57" s="369" t="s">
        <v>40</v>
      </c>
      <c r="S57" s="370" t="s">
        <v>41</v>
      </c>
      <c r="T57" s="371">
        <v>42856</v>
      </c>
      <c r="U57" s="372"/>
    </row>
    <row r="58" spans="1:21" ht="13" hidden="1">
      <c r="A58" s="373" t="str">
        <f>HYPERLINK("https://phillipreeve.net/blog/review-voigtlander-12mm-5-6-aspherical-ultra-wide-heliar/","Voigtlander 12mm F5.6 Ultra Wide-Heliar Aspherical")</f>
        <v>Voigtlander 12mm F5.6 Ultra Wide-Heliar Aspherical</v>
      </c>
      <c r="B58" s="374">
        <v>350</v>
      </c>
      <c r="C58" s="360">
        <v>12</v>
      </c>
      <c r="D58" s="361">
        <v>5.6</v>
      </c>
      <c r="E58" s="375">
        <v>67</v>
      </c>
      <c r="F58" s="376">
        <v>68</v>
      </c>
      <c r="G58" s="377" t="s">
        <v>25</v>
      </c>
      <c r="H58" s="365" t="s">
        <v>26</v>
      </c>
      <c r="I58" s="370"/>
      <c r="J58" s="366">
        <v>749</v>
      </c>
      <c r="K58" s="370"/>
      <c r="L58" s="370"/>
      <c r="M58" s="370"/>
      <c r="N58" s="367"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O58" s="368">
        <v>30</v>
      </c>
      <c r="P58" s="364" t="s">
        <v>27</v>
      </c>
      <c r="Q58" s="365">
        <v>10</v>
      </c>
      <c r="R58" s="369" t="s">
        <v>43</v>
      </c>
      <c r="S58" s="370" t="s">
        <v>29</v>
      </c>
      <c r="T58" s="371">
        <v>42583</v>
      </c>
      <c r="U58" s="380" t="s">
        <v>46</v>
      </c>
    </row>
    <row r="59" spans="1:21" ht="13" hidden="1">
      <c r="A59" s="323" t="s">
        <v>168</v>
      </c>
      <c r="B59" s="60">
        <v>1480</v>
      </c>
      <c r="C59" s="67">
        <v>70</v>
      </c>
      <c r="D59" s="64">
        <v>2.8</v>
      </c>
      <c r="E59" s="194">
        <v>88</v>
      </c>
      <c r="F59" s="211">
        <v>200</v>
      </c>
      <c r="G59" s="74" t="s">
        <v>36</v>
      </c>
      <c r="H59" s="72" t="s">
        <v>80</v>
      </c>
      <c r="I59" s="239">
        <v>0.25</v>
      </c>
      <c r="J59" s="76">
        <v>2599</v>
      </c>
      <c r="K59" s="79" t="str">
        <f>HYPERLINK("https://amzn.to/2KbaJGn","link*")</f>
        <v>link*</v>
      </c>
      <c r="L59" s="79" t="str">
        <f>HYPERLINK("https://www.bhphotovideo.com/c/product/1222776-REG/sony_sel70200gm_fe_70_200mm_f_2_8_gm.html/BI/19619/KBID/12129/DFF/d10-v21-t1-x746807/SID/EZ","link*")</f>
        <v>link*</v>
      </c>
      <c r="M59" s="113" t="s">
        <v>51</v>
      </c>
      <c r="N59"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59" s="84">
        <v>96</v>
      </c>
      <c r="P59" s="134" t="s">
        <v>66</v>
      </c>
      <c r="Q59" s="74">
        <v>11</v>
      </c>
      <c r="R59" s="115" t="s">
        <v>169</v>
      </c>
      <c r="S59" s="74" t="s">
        <v>41</v>
      </c>
      <c r="T59" s="74" t="s">
        <v>232</v>
      </c>
    </row>
    <row r="60" spans="1:21" ht="13" hidden="1">
      <c r="A60" s="323" t="s">
        <v>170</v>
      </c>
      <c r="B60" s="60">
        <v>854</v>
      </c>
      <c r="C60" s="67">
        <v>70</v>
      </c>
      <c r="D60" s="64" t="s">
        <v>171</v>
      </c>
      <c r="E60" s="194">
        <v>84</v>
      </c>
      <c r="F60" s="211">
        <v>144</v>
      </c>
      <c r="G60" s="74" t="s">
        <v>36</v>
      </c>
      <c r="H60" s="72" t="s">
        <v>64</v>
      </c>
      <c r="I60" s="201">
        <v>0.31</v>
      </c>
      <c r="J60" s="76">
        <v>1198</v>
      </c>
      <c r="K60" s="79" t="str">
        <f>HYPERLINK("https://amzn.to/2SVN1Ao","link*")</f>
        <v>link*</v>
      </c>
      <c r="L60" s="79" t="str">
        <f>HYPERLINK("https://www.bhphotovideo.com/c/product/1242614-REG/sony_sel70300g_fe_70_300mm_f_4_5_5_6_g.html/BI/19619/KBID/12129/DFF/d10-v21-t1-x722726/SID/EZ","link*")</f>
        <v>link*</v>
      </c>
      <c r="M60" s="113" t="s">
        <v>51</v>
      </c>
      <c r="N60"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60" s="84">
        <v>90</v>
      </c>
      <c r="P60" s="134" t="s">
        <v>66</v>
      </c>
      <c r="Q60" s="74">
        <v>9</v>
      </c>
      <c r="R60" s="343"/>
      <c r="S60" s="74" t="s">
        <v>41</v>
      </c>
      <c r="T60" s="74" t="s">
        <v>214</v>
      </c>
    </row>
    <row r="61" spans="1:21" ht="13" hidden="1">
      <c r="A61" s="196" t="str">
        <f>HYPERLINK("https://phillipreeve.net/blog/review-sony-fe-470-200-g-oss/https://phillipreeve.net/blog/review-sony-fe-470-200-g-oss/","Sony G 4/70-200 OSS")</f>
        <v>Sony G 4/70-200 OSS</v>
      </c>
      <c r="B61" s="60">
        <v>840</v>
      </c>
      <c r="C61" s="67">
        <v>70</v>
      </c>
      <c r="D61" s="64">
        <v>4</v>
      </c>
      <c r="E61" s="194">
        <v>80</v>
      </c>
      <c r="F61" s="211">
        <v>175</v>
      </c>
      <c r="G61" s="74" t="s">
        <v>36</v>
      </c>
      <c r="H61" s="72" t="s">
        <v>64</v>
      </c>
      <c r="I61" s="74">
        <v>0.18</v>
      </c>
      <c r="J61" s="76">
        <v>1498</v>
      </c>
      <c r="K61" s="79" t="str">
        <f>HYPERLINK("http://amzn.to/2fbeX3x","link*")</f>
        <v>link*</v>
      </c>
      <c r="L61" s="79" t="str">
        <f>HYPERLINK("https://www.bhphotovideo.com/c/product/1380865-REG/sony_fe_70_200mm_f_4_g.html/BI/19619/KBID/12129/kw/SO702004F/DFF/d10-v2-t1-xSO702004F","link*")</f>
        <v>link*</v>
      </c>
      <c r="M61" s="79" t="str">
        <f>HYPERLINK("http://amzn.to/2vbFQKj","link*")</f>
        <v>link*</v>
      </c>
      <c r="N61" s="79"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61" s="84">
        <v>100</v>
      </c>
      <c r="P61" s="134" t="s">
        <v>66</v>
      </c>
      <c r="Q61" s="74">
        <v>9</v>
      </c>
      <c r="R61" s="115" t="s">
        <v>173</v>
      </c>
      <c r="S61" s="74" t="s">
        <v>41</v>
      </c>
      <c r="T61" s="74" t="s">
        <v>228</v>
      </c>
    </row>
    <row r="62" spans="1:21" ht="13" hidden="1">
      <c r="A62" s="196" t="str">
        <f>HYPERLINK("https://phillipreeve.net/blog/review-sony-fe-85mm-1-4-gm/","Sony GM 1.4/85")</f>
        <v>Sony GM 1.4/85</v>
      </c>
      <c r="B62" s="60">
        <v>854</v>
      </c>
      <c r="C62" s="67">
        <v>85</v>
      </c>
      <c r="D62" s="64">
        <v>1.4</v>
      </c>
      <c r="E62" s="194">
        <v>84</v>
      </c>
      <c r="F62" s="211">
        <v>108</v>
      </c>
      <c r="G62" s="74" t="s">
        <v>36</v>
      </c>
      <c r="H62" s="72" t="s">
        <v>80</v>
      </c>
      <c r="I62" s="74">
        <v>0.12</v>
      </c>
      <c r="J62" s="76">
        <v>1799</v>
      </c>
      <c r="K62" s="79" t="str">
        <f>HYPERLINK("https://amzn.to/2SZeKAh","link*")</f>
        <v>link*</v>
      </c>
      <c r="L62" s="79" t="str">
        <f>HYPERLINK("https://www.bhphotovideo.com/c/product/1222775-REG/sony_sel85f14gm_fe_85mm_f_1_4_gm.html/BI/19619/KBID/12129/DFF/d10-v21-t1-x707644/SID/EZ","link*")</f>
        <v>link*</v>
      </c>
      <c r="M62" s="113" t="s">
        <v>51</v>
      </c>
      <c r="N62" s="7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62" s="84">
        <v>80</v>
      </c>
      <c r="P62" s="70" t="s">
        <v>27</v>
      </c>
      <c r="Q62" s="74">
        <v>11</v>
      </c>
      <c r="R62" s="112">
        <v>43688</v>
      </c>
      <c r="S62" s="74" t="s">
        <v>41</v>
      </c>
      <c r="T62" s="74" t="s">
        <v>228</v>
      </c>
    </row>
    <row r="63" spans="1:21" ht="13" hidden="1">
      <c r="A63" s="323" t="s">
        <v>174</v>
      </c>
      <c r="B63" s="60">
        <v>1130</v>
      </c>
      <c r="C63" s="67">
        <v>85</v>
      </c>
      <c r="D63" s="64">
        <v>1.4</v>
      </c>
      <c r="E63" s="194">
        <v>95</v>
      </c>
      <c r="F63" s="211">
        <v>152</v>
      </c>
      <c r="G63" s="74" t="s">
        <v>36</v>
      </c>
      <c r="H63" s="269" t="s">
        <v>175</v>
      </c>
      <c r="I63" s="74">
        <v>0.12</v>
      </c>
      <c r="J63" s="76">
        <v>1199</v>
      </c>
      <c r="K63" s="79" t="str">
        <f>HYPERLINK("https://amzn.to/2MBd68k","link*")</f>
        <v>link*</v>
      </c>
      <c r="L63" s="79" t="str">
        <f>HYPERLINK("https://www.bhphotovideo.com/c/product/1393494-REG/sigma_85mm_f_1_4_dg_hsm.html/BI/19619/KBID/12129/kw/SI8514SO/DFF/d10-v2-t1-xSI8514SO","link*")</f>
        <v>link*</v>
      </c>
      <c r="M63" s="79" t="str">
        <f>HYPERLINK("https://amzn.to/2Wto6JH","link*")</f>
        <v>link*</v>
      </c>
      <c r="N63" s="79"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O63" s="84">
        <v>85</v>
      </c>
      <c r="P63" s="70" t="s">
        <v>27</v>
      </c>
      <c r="Q63" s="74">
        <v>9</v>
      </c>
      <c r="R63" s="343"/>
      <c r="S63" s="74" t="s">
        <v>47</v>
      </c>
      <c r="T63" s="125"/>
      <c r="U63" s="77" t="s">
        <v>48</v>
      </c>
    </row>
    <row r="64" spans="1:21" ht="13" hidden="1">
      <c r="A64" s="323" t="s">
        <v>176</v>
      </c>
      <c r="B64" s="60">
        <v>568</v>
      </c>
      <c r="C64" s="67">
        <v>85</v>
      </c>
      <c r="D64" s="64">
        <v>1.4</v>
      </c>
      <c r="E64" s="194">
        <v>88</v>
      </c>
      <c r="F64" s="211">
        <v>100</v>
      </c>
      <c r="G64" s="74" t="s">
        <v>36</v>
      </c>
      <c r="H64" s="72" t="s">
        <v>80</v>
      </c>
      <c r="I64" s="74">
        <v>0.11</v>
      </c>
      <c r="J64" s="156">
        <v>699</v>
      </c>
      <c r="K64" s="79" t="str">
        <f>HYPERLINK("https://amzn.to/2T0yJ1A","link*")</f>
        <v>link*</v>
      </c>
      <c r="L64" s="79" t="str">
        <f>HYPERLINK("https://www.bhphotovideo.com/c/product/1470654-REG/samyang_syio85af_e_af_85mm_f_1_4_lens.html/BI/19619/KBID/12129/DFF/d10-v21-t1-x955078/SID/EZ","link*")</f>
        <v>link*</v>
      </c>
      <c r="M64" s="113" t="s">
        <v>51</v>
      </c>
      <c r="N64"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64" s="84">
        <v>90</v>
      </c>
      <c r="P64" s="70" t="s">
        <v>27</v>
      </c>
      <c r="Q64" s="74">
        <v>9</v>
      </c>
      <c r="R64" s="112">
        <v>43688</v>
      </c>
      <c r="S64" s="74" t="s">
        <v>41</v>
      </c>
      <c r="T64" s="125"/>
    </row>
    <row r="65" spans="1:21" ht="13" hidden="1">
      <c r="A65" s="196" t="str">
        <f>HYPERLINK("https://phillipreeve.net/blog/review-sony-fe-85-mm-1-8/","Sony FE 85mm f/1.8")</f>
        <v>Sony FE 85mm f/1.8</v>
      </c>
      <c r="B65" s="60">
        <v>371</v>
      </c>
      <c r="C65" s="67">
        <v>85</v>
      </c>
      <c r="D65" s="64">
        <v>1.8</v>
      </c>
      <c r="E65" s="194">
        <v>77</v>
      </c>
      <c r="F65" s="211">
        <v>82</v>
      </c>
      <c r="G65" s="74" t="s">
        <v>36</v>
      </c>
      <c r="H65" s="72" t="s">
        <v>73</v>
      </c>
      <c r="I65" s="74">
        <v>0.13</v>
      </c>
      <c r="J65" s="156">
        <v>599</v>
      </c>
      <c r="K65" s="79" t="str">
        <f>HYPERLINK("https://amzn.to/2YB4RxU","link*")</f>
        <v>link*</v>
      </c>
      <c r="L65" s="79" t="str">
        <f t="shared" ref="L65:L66" si="2">HYPERLINK("https://www.bhphotovideo.com/c/product/1140833-REG/zeiss_2103_751_85mm_f_1_8_batis_short.html/BI/19619/KBID/12129/DFF/d10-v21-t1-x627139/SID/EZ","link*")</f>
        <v>link*</v>
      </c>
      <c r="M65" s="113" t="s">
        <v>51</v>
      </c>
      <c r="N65"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65" s="84">
        <v>80</v>
      </c>
      <c r="P65" s="70" t="s">
        <v>27</v>
      </c>
      <c r="Q65" s="74">
        <v>9</v>
      </c>
      <c r="R65" s="112">
        <v>43686</v>
      </c>
      <c r="S65" s="74" t="s">
        <v>41</v>
      </c>
      <c r="T65" s="74" t="s">
        <v>233</v>
      </c>
    </row>
    <row r="66" spans="1:21" ht="13" hidden="1">
      <c r="A66" s="196" t="str">
        <f>HYPERLINK("https://phillipreeve.net/blog/zeiss-batis-sonnar-t-85mm-f1-8-a-review/","Zeiss Batis 1.8/85")</f>
        <v>Zeiss Batis 1.8/85</v>
      </c>
      <c r="B66" s="60">
        <v>475</v>
      </c>
      <c r="C66" s="67">
        <v>85</v>
      </c>
      <c r="D66" s="64">
        <v>1.8</v>
      </c>
      <c r="E66" s="194">
        <v>92</v>
      </c>
      <c r="F66" s="211">
        <v>81</v>
      </c>
      <c r="G66" s="74" t="s">
        <v>36</v>
      </c>
      <c r="H66" s="72" t="s">
        <v>73</v>
      </c>
      <c r="I66" s="74">
        <v>0.13</v>
      </c>
      <c r="J66" s="76">
        <v>1199</v>
      </c>
      <c r="K66" s="79" t="str">
        <f>HYPERLINK("https://amzn.to/2T8oWqt","link*")</f>
        <v>link*</v>
      </c>
      <c r="L66" s="79" t="str">
        <f t="shared" si="2"/>
        <v>link*</v>
      </c>
      <c r="M66" s="113" t="s">
        <v>51</v>
      </c>
      <c r="N66"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66" s="84">
        <v>80</v>
      </c>
      <c r="P66" s="134" t="s">
        <v>66</v>
      </c>
      <c r="Q66" s="74">
        <v>9</v>
      </c>
      <c r="R66" s="112">
        <v>43688</v>
      </c>
      <c r="S66" s="74" t="s">
        <v>87</v>
      </c>
      <c r="T66" s="125"/>
    </row>
    <row r="67" spans="1:21" ht="13" hidden="1">
      <c r="A67" s="323" t="s">
        <v>197</v>
      </c>
      <c r="B67" s="60">
        <v>665</v>
      </c>
      <c r="C67" s="67">
        <v>85</v>
      </c>
      <c r="D67" s="64">
        <v>1.8</v>
      </c>
      <c r="E67" s="194">
        <v>79</v>
      </c>
      <c r="F67" s="211">
        <v>92</v>
      </c>
      <c r="G67" s="328" t="s">
        <v>25</v>
      </c>
      <c r="H67" s="72" t="s">
        <v>64</v>
      </c>
      <c r="I67" s="74">
        <v>0.13</v>
      </c>
      <c r="J67" s="76">
        <v>299</v>
      </c>
      <c r="K67" s="79" t="str">
        <f>HYPERLINK("https://amzn.to/2LVVOBV","link*")</f>
        <v>link*</v>
      </c>
      <c r="L67" s="79" t="str">
        <f>HYPERLINK("https://www.bhphotovideo.com/c/product/1469189-REG/viltrox_pfu_rbmh_85mm_f1_8_e_mount_85mm_f_1_8_for_sony.html/BI/19619/KBID/12129/DFF/d10-v21-t1-x954301/SID/EZ","link*")</f>
        <v>link*</v>
      </c>
      <c r="M67" s="113" t="s">
        <v>51</v>
      </c>
      <c r="N67" s="79"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O67" s="84">
        <v>80</v>
      </c>
      <c r="P67" s="70" t="s">
        <v>27</v>
      </c>
      <c r="Q67" s="74">
        <v>9</v>
      </c>
      <c r="R67" s="112">
        <v>43656</v>
      </c>
      <c r="S67" s="74" t="s">
        <v>106</v>
      </c>
      <c r="T67" s="125"/>
      <c r="U67" s="77" t="s">
        <v>200</v>
      </c>
    </row>
    <row r="68" spans="1:21" ht="13" hidden="1">
      <c r="A68" s="323" t="s">
        <v>177</v>
      </c>
      <c r="B68" s="60">
        <v>636</v>
      </c>
      <c r="C68" s="67">
        <v>85</v>
      </c>
      <c r="D68" s="64">
        <v>1.8</v>
      </c>
      <c r="E68" s="194">
        <v>79</v>
      </c>
      <c r="F68" s="211">
        <v>92</v>
      </c>
      <c r="G68" s="74" t="s">
        <v>36</v>
      </c>
      <c r="H68" s="72" t="s">
        <v>64</v>
      </c>
      <c r="I68" s="74">
        <v>0.13</v>
      </c>
      <c r="J68" s="76">
        <v>379</v>
      </c>
      <c r="K68" s="79" t="str">
        <f>HYPERLINK("https://amzn.to/2SZfd5v","link*")</f>
        <v>link*</v>
      </c>
      <c r="L68" s="79" t="str">
        <f>HYPERLINK("https://www.bhphotovideo.com/c/product/1470585-REG/viltrox_pfu_rbmh_85mm_f1_8_stm_e_mount_85mm_f_1_8_lens_for.html/BI/19619/KBID/12129/DFF/d10-v21-t1-x955239/SID/EZ","link*")</f>
        <v>link*</v>
      </c>
      <c r="M68" s="113" t="s">
        <v>51</v>
      </c>
      <c r="N68"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68" s="84">
        <v>80</v>
      </c>
      <c r="P68" s="70" t="s">
        <v>27</v>
      </c>
      <c r="Q68" s="74">
        <v>9</v>
      </c>
      <c r="R68" s="112">
        <v>43656</v>
      </c>
      <c r="S68" s="74" t="s">
        <v>106</v>
      </c>
      <c r="T68" s="125"/>
    </row>
    <row r="69" spans="1:21" ht="13" hidden="1">
      <c r="A69" s="196" t="str">
        <f>HYPERLINK("https://phillipreeve.net/blog/rolling-review-zeiss-loxia-85mm-2-4/","Zeiss Loxia 2.4/85")</f>
        <v>Zeiss Loxia 2.4/85</v>
      </c>
      <c r="B69" s="60">
        <v>594</v>
      </c>
      <c r="C69" s="67">
        <v>85</v>
      </c>
      <c r="D69" s="64">
        <v>2.4</v>
      </c>
      <c r="E69" s="194">
        <v>63</v>
      </c>
      <c r="F69" s="211">
        <v>95</v>
      </c>
      <c r="G69" s="328" t="s">
        <v>25</v>
      </c>
      <c r="H69" s="72" t="s">
        <v>131</v>
      </c>
      <c r="I69" s="74">
        <v>0.14000000000000001</v>
      </c>
      <c r="J69" s="76">
        <v>1399</v>
      </c>
      <c r="K69" s="79" t="str">
        <f>HYPERLINK("https://amzn.to/2SY4PLd","link*")</f>
        <v>link*</v>
      </c>
      <c r="L69" s="79" t="str">
        <f>HYPERLINK("https://www.bhphotovideo.com/c/product/1282150-REG/zeiss_2162_636_loxia_85mm_f_2_4_lens.html/BI/19619/KBID/12129/DFF/d10-v21-t1-x762761/SID/EZ","link*")</f>
        <v>link*</v>
      </c>
      <c r="M69" s="113" t="s">
        <v>51</v>
      </c>
      <c r="N69" s="79"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O69" s="84">
        <v>80</v>
      </c>
      <c r="P69" s="70" t="s">
        <v>27</v>
      </c>
      <c r="Q69" s="74">
        <v>10</v>
      </c>
      <c r="R69" s="112">
        <v>43653</v>
      </c>
      <c r="S69" s="74" t="s">
        <v>87</v>
      </c>
      <c r="T69" s="125"/>
    </row>
    <row r="70" spans="1:21" ht="13" hidden="1">
      <c r="A70" s="358" t="s">
        <v>45</v>
      </c>
      <c r="B70" s="383">
        <v>1170</v>
      </c>
      <c r="C70" s="384">
        <v>14</v>
      </c>
      <c r="D70" s="385">
        <v>1.8</v>
      </c>
      <c r="E70" s="386">
        <v>95</v>
      </c>
      <c r="F70" s="387">
        <v>126</v>
      </c>
      <c r="G70" s="370" t="s">
        <v>36</v>
      </c>
      <c r="H70" s="365" t="s">
        <v>26</v>
      </c>
      <c r="I70" s="365">
        <v>0.1</v>
      </c>
      <c r="J70" s="366">
        <v>1599</v>
      </c>
      <c r="K70" s="367" t="str">
        <f>HYPERLINK("https://amzn.to/2SOWTvV","link*")</f>
        <v>link*</v>
      </c>
      <c r="L70" s="367" t="str">
        <f>HYPERLINK("https://www.bhphotovideo.com/c/product/1393489-REG/sigma_14mm_f_1_8_dg_hsm.html/BI/19619/KBID/12129/DFF/d10-v21-t1-x881154/SID/EZ","link*")</f>
        <v>link*</v>
      </c>
      <c r="M70" s="367" t="str">
        <f>HYPERLINK("https://amzn.to/2ZDl4QJ","link*")</f>
        <v>link*</v>
      </c>
      <c r="N70" s="367"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O70" s="368">
        <v>27</v>
      </c>
      <c r="P70" s="364" t="s">
        <v>27</v>
      </c>
      <c r="Q70" s="365">
        <v>9</v>
      </c>
      <c r="R70" s="388">
        <v>43785</v>
      </c>
      <c r="S70" s="370" t="s">
        <v>47</v>
      </c>
      <c r="T70" s="371">
        <v>43221</v>
      </c>
      <c r="U70" s="372" t="s">
        <v>48</v>
      </c>
    </row>
    <row r="71" spans="1:21" ht="13" hidden="1">
      <c r="A71" s="196" t="str">
        <f>HYPERLINK("https://phillipreeve.net/blog/review-sony-fe-100-f-2-8-stf-gm-oss-lens/","Sony GM 2.8/100 STF OSS")</f>
        <v>Sony GM 2.8/100 STF OSS</v>
      </c>
      <c r="B71" s="60">
        <v>700</v>
      </c>
      <c r="C71" s="67">
        <v>100</v>
      </c>
      <c r="D71" s="64">
        <v>2.8</v>
      </c>
      <c r="E71" s="194">
        <v>85</v>
      </c>
      <c r="F71" s="211">
        <v>118</v>
      </c>
      <c r="G71" s="74" t="s">
        <v>36</v>
      </c>
      <c r="H71" s="72" t="s">
        <v>64</v>
      </c>
      <c r="I71" s="239">
        <v>0.25</v>
      </c>
      <c r="J71" s="76">
        <v>1499</v>
      </c>
      <c r="K71" s="79" t="str">
        <f>HYPERLINK("https://amzn.to/2YD8rn4","link*")</f>
        <v>link*</v>
      </c>
      <c r="L71" s="79" t="str">
        <f>HYPERLINK("https://www.bhphotovideo.com/c/product/1317561-REG/sony_sel100f28gm_fe_100mm_f_2_8_stf.html/BI/19619/KBID/12129/DFF/d10-v21-t1-x795192/SID/EZ","link*")</f>
        <v>link*</v>
      </c>
      <c r="M71" s="113" t="s">
        <v>51</v>
      </c>
      <c r="N71" s="7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71" s="84">
        <v>57</v>
      </c>
      <c r="P71" s="134" t="s">
        <v>66</v>
      </c>
      <c r="Q71" s="74">
        <v>11</v>
      </c>
      <c r="R71" s="112">
        <v>43752</v>
      </c>
      <c r="S71" s="74" t="s">
        <v>41</v>
      </c>
      <c r="T71" s="74" t="s">
        <v>233</v>
      </c>
      <c r="U71" s="77" t="s">
        <v>178</v>
      </c>
    </row>
    <row r="72" spans="1:21" ht="13" hidden="1">
      <c r="A72" s="389" t="s">
        <v>49</v>
      </c>
      <c r="B72" s="390">
        <v>795</v>
      </c>
      <c r="C72" s="384">
        <v>14</v>
      </c>
      <c r="D72" s="391">
        <v>2.8</v>
      </c>
      <c r="E72" s="392">
        <v>85</v>
      </c>
      <c r="F72" s="393">
        <v>131</v>
      </c>
      <c r="G72" s="370" t="s">
        <v>36</v>
      </c>
      <c r="H72" s="365" t="s">
        <v>26</v>
      </c>
      <c r="I72" s="365">
        <v>0.14000000000000001</v>
      </c>
      <c r="J72" s="366">
        <v>1399</v>
      </c>
      <c r="K72" s="367" t="str">
        <f>HYPERLINK("https://amzn.to/2zt8rMC","link*")</f>
        <v>link*</v>
      </c>
      <c r="L72" s="367" t="str">
        <f>HYPERLINK("https://www.bhphotovideo.com/c/product/1492972-REG/sigma_213965_14_24mm_f_2_8_dg_dn.html/BI/19619/KBID/12129/DFF/d10-v21-t1-x976041/SID/EZ","link*")</f>
        <v>link*</v>
      </c>
      <c r="M72" s="370" t="s">
        <v>51</v>
      </c>
      <c r="N72" s="367"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O72" s="368">
        <v>28</v>
      </c>
      <c r="P72" s="364" t="s">
        <v>27</v>
      </c>
      <c r="Q72" s="365">
        <v>11</v>
      </c>
      <c r="R72" s="388" t="s">
        <v>54</v>
      </c>
      <c r="S72" s="370" t="s">
        <v>47</v>
      </c>
      <c r="T72" s="371">
        <v>43739</v>
      </c>
      <c r="U72" s="380" t="s">
        <v>55</v>
      </c>
    </row>
    <row r="73" spans="1:21" ht="13" hidden="1">
      <c r="A73" s="323" t="s">
        <v>179</v>
      </c>
      <c r="B73" s="60">
        <v>1395</v>
      </c>
      <c r="C73" s="67">
        <v>100</v>
      </c>
      <c r="D73" s="64" t="s">
        <v>171</v>
      </c>
      <c r="E73" s="194">
        <v>94</v>
      </c>
      <c r="F73" s="216">
        <v>205</v>
      </c>
      <c r="G73" s="74" t="s">
        <v>36</v>
      </c>
      <c r="H73" s="72" t="s">
        <v>80</v>
      </c>
      <c r="I73" s="239">
        <v>0.35</v>
      </c>
      <c r="J73" s="76">
        <v>2499</v>
      </c>
      <c r="K73" s="79" t="str">
        <f>HYPERLINK("https://amzn.to/2SZ0aZO","link*")</f>
        <v>link*</v>
      </c>
      <c r="L73" s="79" t="str">
        <f>HYPERLINK("https://www.bhphotovideo.com/c/product/1333230-REG/sony_sel100400gm_fe_100_400mm_f_4_5_5_6_gm.html/BI/19619/KBID/12129/DFF/d10-v21-t1-x817745/SID/EZ","link*")</f>
        <v>link*</v>
      </c>
      <c r="M73" s="113" t="s">
        <v>51</v>
      </c>
      <c r="N73" s="79"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73" s="84">
        <v>98</v>
      </c>
      <c r="P73" s="134" t="s">
        <v>66</v>
      </c>
      <c r="Q73" s="74">
        <v>11</v>
      </c>
      <c r="R73" s="115" t="s">
        <v>180</v>
      </c>
      <c r="S73" s="74" t="s">
        <v>41</v>
      </c>
      <c r="T73" s="74" t="s">
        <v>234</v>
      </c>
    </row>
    <row r="74" spans="1:21" ht="15.75" hidden="1" customHeight="1">
      <c r="A74" s="323" t="s">
        <v>181</v>
      </c>
      <c r="B74" s="60">
        <v>1600</v>
      </c>
      <c r="C74" s="67">
        <v>105</v>
      </c>
      <c r="D74" s="64">
        <v>1.4</v>
      </c>
      <c r="E74" s="194">
        <v>116</v>
      </c>
      <c r="F74" s="216">
        <v>132</v>
      </c>
      <c r="G74" s="74" t="s">
        <v>36</v>
      </c>
      <c r="H74" s="278" t="s">
        <v>182</v>
      </c>
      <c r="I74" s="74">
        <v>0.12</v>
      </c>
      <c r="J74" s="76">
        <v>1599</v>
      </c>
      <c r="K74" s="79" t="str">
        <f>HYPERLINK("https://amzn.to/2EWeThZ","link*")</f>
        <v>link*</v>
      </c>
      <c r="L74" s="79" t="str">
        <f>HYPERLINK("https://www.bhphotovideo.com/c/product/1393488-REG/sigma_105mm_f_1_4_dg_hsm.html/BI/19619/KBID/12129/kw/SI10514SO/DFF/d10-v2-t1-xSI10514SO","link*")</f>
        <v>link*</v>
      </c>
      <c r="M74" s="79" t="str">
        <f>HYPERLINK("https://amzn.to/2WpOvTy","link*")</f>
        <v>link*</v>
      </c>
      <c r="N74" s="79" t="e">
        <f>HYPERLINK("http://rover.ebay.com/rover/1/711-53200-19255-0/1?icep_ff3=9&amp;pub=5575076376&amp;toolid=10001&amp;campid=5338164340&amp;customid=&amp;icep_uq=sigma+art+100+1.4+sony&amp;icep_sellerId=&amp;icep_ex_kw=&amp;icep_sortBy=12&amp;icep_catId=3323&amp;icep_minPrice=&amp;icep_maxPrice=&amp;ipn=psmain&amp;icep_vec"&amp;"torid=229466&amp;kwid=902099&amp;mtid=824&amp;kw=lg","link*")</f>
        <v>#VALUE!</v>
      </c>
      <c r="O74" s="84">
        <v>100</v>
      </c>
      <c r="P74" s="70" t="s">
        <v>27</v>
      </c>
      <c r="Q74" s="74">
        <v>9</v>
      </c>
      <c r="R74" s="112">
        <v>43816</v>
      </c>
      <c r="S74" s="74" t="s">
        <v>183</v>
      </c>
      <c r="T74" s="125"/>
      <c r="U74" s="77" t="s">
        <v>48</v>
      </c>
    </row>
    <row r="75" spans="1:21" ht="13" hidden="1">
      <c r="A75" s="358" t="s">
        <v>56</v>
      </c>
      <c r="B75" s="359">
        <v>505</v>
      </c>
      <c r="C75" s="384">
        <v>14</v>
      </c>
      <c r="D75" s="391">
        <v>2.8</v>
      </c>
      <c r="E75" s="394">
        <v>86</v>
      </c>
      <c r="F75" s="395">
        <v>98</v>
      </c>
      <c r="G75" s="370" t="s">
        <v>36</v>
      </c>
      <c r="H75" s="365" t="s">
        <v>26</v>
      </c>
      <c r="I75" s="365">
        <v>0.12</v>
      </c>
      <c r="J75" s="366">
        <v>799</v>
      </c>
      <c r="K75" s="367" t="str">
        <f>HYPERLINK("https://amzn.to/2SX2HUi","link*")</f>
        <v>link*</v>
      </c>
      <c r="L75" s="367" t="str">
        <f>HYPERLINK("https://www.bhphotovideo.com/c/product/1352863-REG/samyang_syio14af_e_14mm_f_2_8_f_f_wide.html/BI/19619/KBID/12129/DFF/d10-v21-t1-x837928/SID/EZ","link*")</f>
        <v>link*</v>
      </c>
      <c r="M75" s="367" t="str">
        <f>HYPERLINK("https://amzn.to/31hwSIL","link*")</f>
        <v>link*</v>
      </c>
      <c r="N75" s="367"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75" s="368">
        <v>20</v>
      </c>
      <c r="P75" s="364" t="s">
        <v>27</v>
      </c>
      <c r="Q75" s="365">
        <v>7</v>
      </c>
      <c r="R75" s="388">
        <v>43752</v>
      </c>
      <c r="S75" s="370" t="s">
        <v>38</v>
      </c>
      <c r="T75" s="371">
        <v>43221</v>
      </c>
      <c r="U75" s="372"/>
    </row>
    <row r="76" spans="1:21" ht="13" hidden="1">
      <c r="A76" s="196" t="str">
        <f>HYPERLINK("https://phillipreeve.net/blog/review-sony-fe-135mm-f1-8-gm/","Sony 1.8/135 GM")</f>
        <v>Sony 1.8/135 GM</v>
      </c>
      <c r="B76" s="60">
        <v>950</v>
      </c>
      <c r="C76" s="67">
        <v>135</v>
      </c>
      <c r="D76" s="64">
        <v>1.8</v>
      </c>
      <c r="E76" s="194">
        <v>90</v>
      </c>
      <c r="F76" s="211">
        <v>127</v>
      </c>
      <c r="G76" s="74" t="s">
        <v>36</v>
      </c>
      <c r="H76" s="236" t="s">
        <v>68</v>
      </c>
      <c r="I76" s="239">
        <v>0.25</v>
      </c>
      <c r="J76" s="76">
        <v>1899</v>
      </c>
      <c r="K76" s="79" t="str">
        <f>HYPERLINK("https://amzn.to/2WtonMJ","link*")</f>
        <v>link*</v>
      </c>
      <c r="L76" s="79" t="str">
        <f>HYPERLINK("https://www.bhphotovideo.com/c/product/1393495-REG/sigma_135mm_f_1_8_dg_hsm.html/BI/19619/KBID/12129/kw/SI13518SO/DFF/d10-v2-t1-xSI13518SO","link*")</f>
        <v>link*</v>
      </c>
      <c r="M76" s="79" t="str">
        <f>HYPERLINK("https://amzn.to/2Z9KKDE","link*")</f>
        <v>link*</v>
      </c>
      <c r="N76" s="7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76" s="84">
        <v>70</v>
      </c>
      <c r="P76" s="70" t="s">
        <v>27</v>
      </c>
      <c r="Q76" s="74">
        <v>11</v>
      </c>
      <c r="R76" s="112">
        <v>43751</v>
      </c>
      <c r="S76" s="74" t="s">
        <v>41</v>
      </c>
      <c r="T76" s="125"/>
    </row>
    <row r="77" spans="1:21" ht="13" hidden="1">
      <c r="A77" s="323" t="s">
        <v>185</v>
      </c>
      <c r="B77" s="60">
        <v>1130</v>
      </c>
      <c r="C77" s="67">
        <v>135</v>
      </c>
      <c r="D77" s="64">
        <v>1.8</v>
      </c>
      <c r="E77" s="194">
        <v>91</v>
      </c>
      <c r="F77" s="211">
        <v>115</v>
      </c>
      <c r="G77" s="74" t="s">
        <v>36</v>
      </c>
      <c r="H77" s="236" t="s">
        <v>68</v>
      </c>
      <c r="I77" s="74">
        <v>0.2</v>
      </c>
      <c r="J77" s="184">
        <v>1399</v>
      </c>
      <c r="K77" s="79" t="str">
        <f>HYPERLINK("https://amzn.to/2yxIM4R","link*")</f>
        <v>link*</v>
      </c>
      <c r="L77" s="79" t="str">
        <f>HYPERLINK("https://www.bhphotovideo.com/c/product/1393495-REG/sigma_135mm_f_1_8_dg_hsm.html/BI/19619/KBID/12129/DFF/d10-v21-t1-x881160/SID/EZ","link*")</f>
        <v>link*</v>
      </c>
      <c r="M77" s="113" t="s">
        <v>51</v>
      </c>
      <c r="N77" s="79"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O77" s="84">
        <v>87</v>
      </c>
      <c r="P77" s="70" t="s">
        <v>27</v>
      </c>
      <c r="Q77" s="74">
        <v>9</v>
      </c>
      <c r="R77" s="112">
        <v>43751</v>
      </c>
      <c r="S77" s="74" t="s">
        <v>47</v>
      </c>
      <c r="T77" s="125"/>
      <c r="U77" s="77" t="s">
        <v>48</v>
      </c>
    </row>
    <row r="78" spans="1:21" ht="13" hidden="1">
      <c r="A78" s="196" t="str">
        <f>HYPERLINK("https://phillipreeve.net/blog/zeiss-batis-apo-sonnar-t-135mm-f2-8/","Zeiss 2.8/135 APO")</f>
        <v>Zeiss 2.8/135 APO</v>
      </c>
      <c r="B78" s="60">
        <v>614</v>
      </c>
      <c r="C78" s="67">
        <v>135</v>
      </c>
      <c r="D78" s="64">
        <v>2.8</v>
      </c>
      <c r="E78" s="194">
        <v>99</v>
      </c>
      <c r="F78" s="211">
        <v>120</v>
      </c>
      <c r="G78" s="74" t="s">
        <v>36</v>
      </c>
      <c r="H78" s="72" t="s">
        <v>73</v>
      </c>
      <c r="I78" s="74">
        <v>0.19</v>
      </c>
      <c r="J78" s="76">
        <v>1699</v>
      </c>
      <c r="K78" s="79" t="str">
        <f>HYPERLINK("https://amzn.to/319GJA4","link*")</f>
        <v>link*</v>
      </c>
      <c r="L78" s="79" t="str">
        <f>HYPERLINK("https://www.bhphotovideo.com/c/product/1330083-REG/zeiss_2136_695_batis_135mm_f_2_8_lens.html/BI/19619/KBID/12129/DFF/d10-v21-t1-x814884/SID/EZ","link*")</f>
        <v>link*</v>
      </c>
      <c r="M78" s="113" t="s">
        <v>51</v>
      </c>
      <c r="N78" s="79"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78" s="84">
        <v>87</v>
      </c>
      <c r="P78" s="134" t="s">
        <v>66</v>
      </c>
      <c r="Q78" s="74">
        <v>9</v>
      </c>
      <c r="R78" s="112">
        <v>43783</v>
      </c>
      <c r="S78" s="74" t="s">
        <v>87</v>
      </c>
      <c r="T78" s="125"/>
    </row>
    <row r="79" spans="1:21" ht="13" hidden="1">
      <c r="A79" s="373" t="str">
        <f>HYPERLINK("https://phillipreeve.net/blog/review-voigtlander-15mm-4-5-e-super-wide-heliar/","Voigtlander 15mm F4.5 Super Wide Heliar")</f>
        <v>Voigtlander 15mm F4.5 Super Wide Heliar</v>
      </c>
      <c r="B79" s="374">
        <v>298</v>
      </c>
      <c r="C79" s="396">
        <v>15</v>
      </c>
      <c r="D79" s="361">
        <v>4.5</v>
      </c>
      <c r="E79" s="375">
        <v>67</v>
      </c>
      <c r="F79" s="397">
        <v>62</v>
      </c>
      <c r="G79" s="377" t="s">
        <v>25</v>
      </c>
      <c r="H79" s="365" t="s">
        <v>71</v>
      </c>
      <c r="I79" s="365">
        <v>8.3000000000000004E-2</v>
      </c>
      <c r="J79" s="366">
        <v>799</v>
      </c>
      <c r="K79" s="367" t="str">
        <f>HYPERLINK("https://amzn.to/2YwplrQ","link*")</f>
        <v>link*</v>
      </c>
      <c r="L79" s="367" t="str">
        <f>HYPERLINK("https://www.bhphotovideo.com/c/product/1219549-REG/voigtlander_ba329b_super_wide_heliar_15mm_f_4_5.html/BI/19619/KBID/12129/DFF/d10-v21-t1-x618202/SID/EZ","link*")</f>
        <v>link*</v>
      </c>
      <c r="M79" s="367" t="str">
        <f>HYPERLINK("https://amzn.to/2ZpTKt5","link*")</f>
        <v>link*</v>
      </c>
      <c r="N79" s="367"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O79" s="368">
        <v>30</v>
      </c>
      <c r="P79" s="364" t="s">
        <v>27</v>
      </c>
      <c r="Q79" s="365">
        <v>10</v>
      </c>
      <c r="R79" s="369" t="s">
        <v>43</v>
      </c>
      <c r="S79" s="370" t="s">
        <v>29</v>
      </c>
      <c r="T79" s="371">
        <v>42401</v>
      </c>
      <c r="U79" s="372"/>
    </row>
    <row r="80" spans="1:21" ht="13" hidden="1">
      <c r="A80" s="373" t="str">
        <f>HYPERLINK("https://phillipreeve.net/blog/sony-fe-16-35mm-f4-za-t-review/","Sony ZA 4/16-35 OSS ")</f>
        <v xml:space="preserve">Sony ZA 4/16-35 OSS </v>
      </c>
      <c r="B80" s="359">
        <v>523</v>
      </c>
      <c r="C80" s="398">
        <v>16</v>
      </c>
      <c r="D80" s="361">
        <v>4</v>
      </c>
      <c r="E80" s="399">
        <v>78</v>
      </c>
      <c r="F80" s="395">
        <v>98</v>
      </c>
      <c r="G80" s="364" t="s">
        <v>36</v>
      </c>
      <c r="H80" s="365" t="s">
        <v>64</v>
      </c>
      <c r="I80" s="365">
        <v>0.19</v>
      </c>
      <c r="J80" s="366">
        <v>1349</v>
      </c>
      <c r="K80" s="367" t="str">
        <f>HYPERLINK("http://amzn.to/2v2sY7q","link*")</f>
        <v>link*</v>
      </c>
      <c r="L80" s="367" t="str">
        <f>HYPERLINK("https://www.bhphotovideo.com/c/product/1380866-REG/sony_16_35mm_f_4_vario_tsr.html/BI/19619/KBID/12129/kw/SO16354F/DFF/d10-v2-t1-xSO16354F","link*")</f>
        <v>link*</v>
      </c>
      <c r="M80" s="367" t="str">
        <f>HYPERLINK("http://amzn.to/2wyMLuP","link*")</f>
        <v>link*</v>
      </c>
      <c r="N80" s="367"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80" s="368">
        <v>28</v>
      </c>
      <c r="P80" s="400" t="s">
        <v>66</v>
      </c>
      <c r="Q80" s="365">
        <v>7</v>
      </c>
      <c r="R80" s="369" t="s">
        <v>43</v>
      </c>
      <c r="S80" s="370" t="s">
        <v>41</v>
      </c>
      <c r="T80" s="371">
        <v>41883</v>
      </c>
      <c r="U80" s="372"/>
    </row>
    <row r="81" spans="1:21" ht="13" hidden="1">
      <c r="A81" s="401" t="s">
        <v>192</v>
      </c>
      <c r="B81" s="282">
        <v>3040</v>
      </c>
      <c r="C81" s="402">
        <v>600</v>
      </c>
      <c r="D81" s="284">
        <v>4</v>
      </c>
      <c r="E81" s="194">
        <v>164</v>
      </c>
      <c r="F81" s="211">
        <v>449</v>
      </c>
      <c r="G81" s="285" t="s">
        <v>36</v>
      </c>
      <c r="H81" s="286" t="s">
        <v>26</v>
      </c>
      <c r="I81" s="285">
        <v>0.14000000000000001</v>
      </c>
      <c r="J81" s="203" t="s">
        <v>193</v>
      </c>
      <c r="K81" s="113"/>
      <c r="L81" s="79" t="str">
        <f>HYPERLINK("https://www.bhphotovideo.com/c/product/1485539-REG/sony_sel600f40gm_fe_600mm_f_4_gm.html/BI/19619/KBID/12129/DFF/d10-v21-t1-x968881/SID/EZ","link*")</f>
        <v>link*</v>
      </c>
      <c r="M81" s="113" t="s">
        <v>51</v>
      </c>
      <c r="N81" s="7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81" s="287">
        <v>451</v>
      </c>
      <c r="P81" s="134" t="s">
        <v>66</v>
      </c>
      <c r="Q81" s="285">
        <v>11</v>
      </c>
      <c r="R81" s="288" t="s">
        <v>195</v>
      </c>
      <c r="S81" s="285" t="s">
        <v>41</v>
      </c>
      <c r="T81" s="285" t="s">
        <v>235</v>
      </c>
    </row>
    <row r="82" spans="1:21" ht="13" hidden="1">
      <c r="A82" s="358" t="s">
        <v>67</v>
      </c>
      <c r="B82" s="390">
        <v>680</v>
      </c>
      <c r="C82" s="398">
        <v>16</v>
      </c>
      <c r="D82" s="391">
        <v>2.8</v>
      </c>
      <c r="E82" s="403">
        <v>89</v>
      </c>
      <c r="F82" s="404">
        <v>122</v>
      </c>
      <c r="G82" s="364" t="s">
        <v>36</v>
      </c>
      <c r="H82" s="365" t="s">
        <v>68</v>
      </c>
      <c r="I82" s="365">
        <v>0.19</v>
      </c>
      <c r="J82" s="366">
        <v>2199</v>
      </c>
      <c r="K82" s="405" t="str">
        <f>HYPERLINK("https://amzn.to/2SR0IRl","link*")</f>
        <v>link*</v>
      </c>
      <c r="L82" s="405" t="str">
        <f>HYPERLINK("https://www.bhphotovideo.com/c/product/1338516-REG/sony_sel1635gm_fe_16_35mm_f_2_8_gm.html/BI/19619/KBID/12129/DFF/d10-v21-t1-x822837/SID/EZ","link*")</f>
        <v>link*</v>
      </c>
      <c r="M82" s="405" t="str">
        <f>HYPERLINK("https://amzn.to/2T1ZxOU","link*")</f>
        <v>link*</v>
      </c>
      <c r="N82" s="405"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82" s="368">
        <v>28</v>
      </c>
      <c r="P82" s="364" t="s">
        <v>27</v>
      </c>
      <c r="Q82" s="365">
        <v>11</v>
      </c>
      <c r="R82" s="369" t="s">
        <v>72</v>
      </c>
      <c r="S82" s="370" t="s">
        <v>41</v>
      </c>
      <c r="T82" s="371">
        <v>42856</v>
      </c>
      <c r="U82" s="372"/>
    </row>
    <row r="83" spans="1:21" ht="13" hidden="1">
      <c r="A83" s="406" t="str">
        <f>HYPERLINK("https://phillipreeve.net/blog/review-tamron-17-28mm-f-2-8-di-iii-rxd/","Tamron 17-28mm f/2.8 Di III RXD")</f>
        <v>Tamron 17-28mm f/2.8 Di III RXD</v>
      </c>
      <c r="B83" s="359">
        <v>420</v>
      </c>
      <c r="C83" s="407">
        <v>17</v>
      </c>
      <c r="D83" s="391">
        <v>2.8</v>
      </c>
      <c r="E83" s="408">
        <v>73</v>
      </c>
      <c r="F83" s="409">
        <v>99</v>
      </c>
      <c r="G83" s="364" t="s">
        <v>36</v>
      </c>
      <c r="H83" s="365" t="s">
        <v>73</v>
      </c>
      <c r="I83" s="365">
        <v>0.19</v>
      </c>
      <c r="J83" s="410">
        <v>899</v>
      </c>
      <c r="K83" s="405" t="str">
        <f>HYPERLINK("https://amzn.to/2Hv3AyB","link*")</f>
        <v>link*</v>
      </c>
      <c r="L83" s="405" t="str">
        <f>HYPERLINK("https://www.bhphotovideo.com/c/product/1461529-REG/tamron_a046_17_28mm_f_2_8_di_iii.html/BI/19619/KBID/12129/DFF/d10-v21-t1-x946694/SID/EZ","link*")</f>
        <v>link*</v>
      </c>
      <c r="M83" s="405" t="str">
        <f>HYPERLINK("https://amzn.to/2YkrkQB","link*")</f>
        <v>link*</v>
      </c>
      <c r="N83" s="405"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83" s="368">
        <v>19</v>
      </c>
      <c r="P83" s="364" t="s">
        <v>27</v>
      </c>
      <c r="Q83" s="365">
        <v>9</v>
      </c>
      <c r="R83" s="369" t="s">
        <v>77</v>
      </c>
      <c r="S83" s="370" t="s">
        <v>78</v>
      </c>
      <c r="T83" s="371">
        <v>43647</v>
      </c>
      <c r="U83" s="372"/>
    </row>
    <row r="84" spans="1:21" ht="13" hidden="1">
      <c r="A84" s="373" t="str">
        <f>HYPERLINK("https://phillipreeve.net/blog/review-zeiss-batis-18mm-2-8/","Zeiss Batis 2.8/18")</f>
        <v>Zeiss Batis 2.8/18</v>
      </c>
      <c r="B84" s="374">
        <v>330</v>
      </c>
      <c r="C84" s="411">
        <v>18</v>
      </c>
      <c r="D84" s="391">
        <v>2.8</v>
      </c>
      <c r="E84" s="412">
        <v>100</v>
      </c>
      <c r="F84" s="413">
        <v>80</v>
      </c>
      <c r="G84" s="364" t="s">
        <v>36</v>
      </c>
      <c r="H84" s="365" t="s">
        <v>80</v>
      </c>
      <c r="I84" s="365">
        <v>0.1</v>
      </c>
      <c r="J84" s="366">
        <v>1499</v>
      </c>
      <c r="K84" s="405" t="str">
        <f>HYPERLINK("https://amzn.to/2SRFBhL","link*")</f>
        <v>link*</v>
      </c>
      <c r="L84" s="405" t="str">
        <f>HYPERLINK("https://www.bhphotovideo.com/c/product/1243591-REG/zeiss_2136_691_batis_18mm_f_2_8_lens.html/BI/19619/KBID/12129/DFF/d10-v21-t1-x727488/SID/EZ","link*")</f>
        <v>link*</v>
      </c>
      <c r="M84" s="405" t="str">
        <f>HYPERLINK("https://amzn.to/334PqNT","link*")</f>
        <v>link*</v>
      </c>
      <c r="N84" s="405"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84" s="368">
        <v>25</v>
      </c>
      <c r="P84" s="364" t="s">
        <v>27</v>
      </c>
      <c r="Q84" s="365">
        <v>9</v>
      </c>
      <c r="R84" s="369" t="s">
        <v>86</v>
      </c>
      <c r="S84" s="370" t="s">
        <v>87</v>
      </c>
      <c r="T84" s="371">
        <v>42491</v>
      </c>
      <c r="U84" s="372"/>
    </row>
    <row r="85" spans="1:21" ht="13" hidden="1">
      <c r="A85" s="389" t="s">
        <v>88</v>
      </c>
      <c r="B85" s="416">
        <v>145</v>
      </c>
      <c r="C85" s="411">
        <v>18</v>
      </c>
      <c r="D85" s="391">
        <v>2.8</v>
      </c>
      <c r="E85" s="417">
        <v>63.5</v>
      </c>
      <c r="F85" s="418">
        <v>60.5</v>
      </c>
      <c r="G85" s="364" t="s">
        <v>36</v>
      </c>
      <c r="H85" s="365" t="s">
        <v>71</v>
      </c>
      <c r="I85" s="365">
        <v>0.09</v>
      </c>
      <c r="J85" s="366">
        <v>399</v>
      </c>
      <c r="K85" s="419"/>
      <c r="L85" s="405" t="str">
        <f>HYPERLINK("https://www.bhphotovideo.com/c/product/1503295-REG/samyang_syio18af_e_af_18mm_f_2_8_fe.html/BI/19619/KBID/12129/DFF/d10-v21-t1-x985623/SID/EZ","link*")</f>
        <v>link*</v>
      </c>
      <c r="M85" s="419"/>
      <c r="N85" s="419"/>
      <c r="O85" s="368">
        <v>25</v>
      </c>
      <c r="P85" s="364" t="s">
        <v>27</v>
      </c>
      <c r="Q85" s="365">
        <v>7</v>
      </c>
      <c r="R85" s="369" t="s">
        <v>91</v>
      </c>
      <c r="S85" s="370" t="s">
        <v>38</v>
      </c>
      <c r="T85" s="371">
        <v>43723</v>
      </c>
      <c r="U85" s="372"/>
    </row>
    <row r="86" spans="1:21" ht="13" hidden="1">
      <c r="A86" s="358" t="s">
        <v>92</v>
      </c>
      <c r="B86" s="383">
        <v>950</v>
      </c>
      <c r="C86" s="420">
        <v>20</v>
      </c>
      <c r="D86" s="421">
        <v>1.4</v>
      </c>
      <c r="E86" s="422">
        <v>91</v>
      </c>
      <c r="F86" s="423">
        <v>130</v>
      </c>
      <c r="G86" s="370" t="s">
        <v>36</v>
      </c>
      <c r="H86" s="365" t="s">
        <v>26</v>
      </c>
      <c r="I86" s="365">
        <v>0.14000000000000001</v>
      </c>
      <c r="J86" s="366">
        <v>899</v>
      </c>
      <c r="K86" s="405" t="str">
        <f>HYPERLINK("https://amzn.to/2K4J7nh","link*")</f>
        <v>link*</v>
      </c>
      <c r="L86" s="405" t="str">
        <f>HYPERLINK("https://amzn.to/31hxv55","link*")</f>
        <v>link*</v>
      </c>
      <c r="M86" s="405" t="str">
        <f>HYPERLINK("https://amzn.to/2Wy0d3F","link*")</f>
        <v>link*</v>
      </c>
      <c r="N86" s="405"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O86" s="368">
        <v>28</v>
      </c>
      <c r="P86" s="364" t="s">
        <v>27</v>
      </c>
      <c r="Q86" s="365">
        <v>9</v>
      </c>
      <c r="R86" s="388">
        <v>43784</v>
      </c>
      <c r="S86" s="370" t="s">
        <v>47</v>
      </c>
      <c r="T86" s="371">
        <v>43221</v>
      </c>
      <c r="U86" s="372" t="s">
        <v>48</v>
      </c>
    </row>
    <row r="87" spans="1:21" ht="13" hidden="1">
      <c r="A87" s="424" t="s">
        <v>104</v>
      </c>
      <c r="B87" s="390">
        <v>775</v>
      </c>
      <c r="C87" s="420">
        <v>20</v>
      </c>
      <c r="D87" s="385">
        <v>1.8</v>
      </c>
      <c r="E87" s="425">
        <v>77</v>
      </c>
      <c r="F87" s="426">
        <v>102</v>
      </c>
      <c r="G87" s="427" t="s">
        <v>25</v>
      </c>
      <c r="H87" s="365" t="s">
        <v>68</v>
      </c>
      <c r="I87" s="365">
        <v>0.12</v>
      </c>
      <c r="J87" s="366">
        <v>486</v>
      </c>
      <c r="K87" s="405" t="str">
        <f>HYPERLINK("https://amzn.to/2LRRbJ5","link*")</f>
        <v>link*</v>
      </c>
      <c r="L87" s="405" t="str">
        <f>HYPERLINK("https://www.bhphotovideo.com/c/product/1469187-REG/viltrox_pfu_rbmh_20mm_f1_8_asph_e_mount_20mm_f_1_8_for_sony.html/BI/19619/KBID/12129/DFF/d10-v21-t1-x954299/SID/EZ","link*")</f>
        <v>link*</v>
      </c>
      <c r="M87" s="405" t="str">
        <f>HYPERLINK("https://amzn.to/2GL8iYV","link*")</f>
        <v>link*</v>
      </c>
      <c r="N87" s="405"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O87" s="368">
        <v>25</v>
      </c>
      <c r="P87" s="364" t="s">
        <v>27</v>
      </c>
      <c r="Q87" s="365">
        <v>14</v>
      </c>
      <c r="R87" s="388">
        <v>43720</v>
      </c>
      <c r="S87" s="370" t="s">
        <v>106</v>
      </c>
      <c r="T87" s="371">
        <v>43586</v>
      </c>
      <c r="U87" s="372"/>
    </row>
    <row r="88" spans="1:21" ht="13" hidden="1">
      <c r="A88" s="373" t="str">
        <f>HYPERLINK("https://phillipreeve.net/blog/tokina-firin-20mm-f2-fe-review-a-good-deal/","Tokina Firin 2/20")</f>
        <v>Tokina Firin 2/20</v>
      </c>
      <c r="B88" s="359">
        <v>492</v>
      </c>
      <c r="C88" s="420">
        <v>20</v>
      </c>
      <c r="D88" s="428">
        <v>2</v>
      </c>
      <c r="E88" s="429">
        <v>69</v>
      </c>
      <c r="F88" s="430">
        <v>82</v>
      </c>
      <c r="G88" s="377" t="s">
        <v>25</v>
      </c>
      <c r="H88" s="365" t="s">
        <v>101</v>
      </c>
      <c r="I88" s="365">
        <v>0.1</v>
      </c>
      <c r="J88" s="431">
        <v>799</v>
      </c>
      <c r="K88" s="405" t="str">
        <f>HYPERLINK("http://amzn.to/2vlG2Yq","link*")</f>
        <v>link*</v>
      </c>
      <c r="L88" s="405" t="str">
        <f>HYPERLINK("https://www.bhphotovideo.com/c/product/1281299-REG/tokina_firin_20mm_f_2_fe.html/BI/19619/KBID/12129/kw/TO202E/DFF/d10-v2-t1-xTO202E","link*")</f>
        <v>link*</v>
      </c>
      <c r="M88" s="405" t="str">
        <f>HYPERLINK("http://amzn.to/2vvtDkM","link*")</f>
        <v>link*</v>
      </c>
      <c r="N88" s="405"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c r="O88" s="368">
        <v>30</v>
      </c>
      <c r="P88" s="364" t="s">
        <v>27</v>
      </c>
      <c r="Q88" s="365">
        <v>9</v>
      </c>
      <c r="R88" s="369" t="s">
        <v>77</v>
      </c>
      <c r="S88" s="370" t="s">
        <v>103</v>
      </c>
      <c r="T88" s="371">
        <v>42856</v>
      </c>
      <c r="U88" s="372"/>
    </row>
    <row r="89" spans="1:21" ht="13" hidden="1">
      <c r="A89" s="358" t="s">
        <v>97</v>
      </c>
      <c r="B89" s="359">
        <v>464</v>
      </c>
      <c r="C89" s="420">
        <v>20</v>
      </c>
      <c r="D89" s="428">
        <v>2</v>
      </c>
      <c r="E89" s="432">
        <v>73</v>
      </c>
      <c r="F89" s="430">
        <v>82</v>
      </c>
      <c r="G89" s="364" t="s">
        <v>36</v>
      </c>
      <c r="H89" s="365" t="s">
        <v>101</v>
      </c>
      <c r="I89" s="365">
        <v>0.1</v>
      </c>
      <c r="J89" s="366">
        <v>949</v>
      </c>
      <c r="K89" s="405" t="str">
        <f>HYPERLINK("https://amzn.to/2GDurZb","link*")</f>
        <v>link*</v>
      </c>
      <c r="L89" s="405" t="str">
        <f>HYPERLINK("https://www.bhphotovideo.com/c/product/1393327-REG/tokina_firin_20mm_f_2_fe.html/BI/19619/KBID/12129/DFF/d10-v21-t1-x880327/SID/EZ","link*")</f>
        <v>link*</v>
      </c>
      <c r="M89" s="405" t="str">
        <f>HYPERLINK("https://amzn.to/2GJYCxw","link*")</f>
        <v>link*</v>
      </c>
      <c r="N89" s="405"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89" s="368">
        <v>30</v>
      </c>
      <c r="P89" s="364" t="s">
        <v>27</v>
      </c>
      <c r="Q89" s="365">
        <v>9</v>
      </c>
      <c r="R89" s="369" t="s">
        <v>77</v>
      </c>
      <c r="S89" s="370" t="s">
        <v>103</v>
      </c>
      <c r="T89" s="371">
        <v>43221</v>
      </c>
      <c r="U89" s="372"/>
    </row>
    <row r="90" spans="1:21" ht="13" hidden="1">
      <c r="A90" s="406" t="str">
        <f>HYPERLINK("https://phillipreeve.net/blog/review_voigtlander_21mm_f14_e/","Voigtlander 21mm F1.4 Nokton")</f>
        <v>Voigtlander 21mm F1.4 Nokton</v>
      </c>
      <c r="B90" s="359">
        <v>540</v>
      </c>
      <c r="C90" s="433">
        <v>21</v>
      </c>
      <c r="D90" s="421">
        <v>1.4</v>
      </c>
      <c r="E90" s="434">
        <v>70</v>
      </c>
      <c r="F90" s="413">
        <v>80</v>
      </c>
      <c r="G90" s="377" t="s">
        <v>25</v>
      </c>
      <c r="H90" s="365" t="s">
        <v>101</v>
      </c>
      <c r="I90" s="370"/>
      <c r="J90" s="366">
        <v>1199</v>
      </c>
      <c r="K90" s="405" t="str">
        <f>HYPERLINK("https://amzn.to/2K7gHrC","link*")</f>
        <v>link*</v>
      </c>
      <c r="L90" s="405" t="str">
        <f>HYPERLINK("https://www.bhphotovideo.com/c/product/1480269-REG/voigtlander_ba352a_nokton_21mm_f_1_4_aspherical.html/BI/19619/KBID/12129/DFF/d10-v21-t1-x963269/SID/EZ","link*")</f>
        <v>link*</v>
      </c>
      <c r="M90" s="419"/>
      <c r="N90" s="405"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c r="O90" s="368">
        <v>25</v>
      </c>
      <c r="P90" s="364" t="s">
        <v>27</v>
      </c>
      <c r="Q90" s="365">
        <v>12</v>
      </c>
      <c r="R90" s="369" t="s">
        <v>77</v>
      </c>
      <c r="S90" s="370" t="s">
        <v>29</v>
      </c>
      <c r="T90" s="371">
        <v>43617</v>
      </c>
      <c r="U90" s="372"/>
    </row>
    <row r="91" spans="1:21" ht="13" hidden="1">
      <c r="A91" s="373" t="str">
        <f>HYPERLINK("https://phillipreeve.net/blog/rolling-review-zeiss-loxia-distagon-2-821mm-t/https://phillipreeve.net/blog/rolling-review-zeiss-loxia-distagon-2-821mm-t/","Zeiss Loxia 2.8/21 Distagon T*")</f>
        <v>Zeiss Loxia 2.8/21 Distagon T*</v>
      </c>
      <c r="B91" s="374">
        <v>394</v>
      </c>
      <c r="C91" s="433">
        <v>21</v>
      </c>
      <c r="D91" s="391">
        <v>2.8</v>
      </c>
      <c r="E91" s="435">
        <v>62</v>
      </c>
      <c r="F91" s="436">
        <v>72</v>
      </c>
      <c r="G91" s="377" t="s">
        <v>25</v>
      </c>
      <c r="H91" s="365" t="s">
        <v>131</v>
      </c>
      <c r="I91" s="365">
        <v>0.13</v>
      </c>
      <c r="J91" s="366">
        <v>1499</v>
      </c>
      <c r="K91" s="405" t="str">
        <f>HYPERLINK("https://amzn.to/2yspzBm","link*")</f>
        <v>link*</v>
      </c>
      <c r="L91" s="405" t="str">
        <f>HYPERLINK("https://www.bhphotovideo.com/c/product/1189220-REG/zeiss_2131_999_loxia_21mm_f_2_8_lens.html/BI/19619/KBID/12129/DFF/d10-v21-t1-x677077/SID/EZ","link*")</f>
        <v>link*</v>
      </c>
      <c r="M91" s="405" t="str">
        <f>HYPERLINK("https://amzn.to/2GHSOoA","link*")</f>
        <v>link*</v>
      </c>
      <c r="N91" s="405"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c r="O91" s="368">
        <v>25</v>
      </c>
      <c r="P91" s="364" t="s">
        <v>27</v>
      </c>
      <c r="Q91" s="365">
        <v>10</v>
      </c>
      <c r="R91" s="369" t="s">
        <v>132</v>
      </c>
      <c r="S91" s="370" t="s">
        <v>87</v>
      </c>
      <c r="T91" s="371">
        <v>42339</v>
      </c>
      <c r="U91" s="372"/>
    </row>
    <row r="92" spans="1:21" ht="13" hidden="1">
      <c r="A92" s="373" t="str">
        <f>HYPERLINK("https://phillipreeve.net/blog/voigtlander-21mm-f35-review/","Voigtlander 21mm F3.5 Color-Skopar")</f>
        <v>Voigtlander 21mm F3.5 Color-Skopar</v>
      </c>
      <c r="B92" s="374">
        <v>230</v>
      </c>
      <c r="C92" s="433">
        <v>21</v>
      </c>
      <c r="D92" s="437">
        <v>3.5</v>
      </c>
      <c r="E92" s="435">
        <v>63</v>
      </c>
      <c r="F92" s="438">
        <v>40</v>
      </c>
      <c r="G92" s="377" t="s">
        <v>25</v>
      </c>
      <c r="H92" s="365" t="s">
        <v>131</v>
      </c>
      <c r="I92" s="370"/>
      <c r="J92" s="366">
        <v>699</v>
      </c>
      <c r="K92" s="405" t="str">
        <f>HYPERLINK("https://amzn.to/2JCie75","link*")</f>
        <v>link*</v>
      </c>
      <c r="L92" s="405" t="str">
        <f>HYPERLINK("https://www.bhphotovideo.com/c/product/1437613-REG/voigtlander_color_skopar_21mm_f_3_5_aspherical.html/BI/19619/KBID/12129/kw/VO2135E/DFF/d10-v2-t1-xVO2135E","link*")</f>
        <v>link*</v>
      </c>
      <c r="M92" s="405" t="str">
        <f>HYPERLINK("https://amzn.to/2ZoERan","link*")</f>
        <v>link*</v>
      </c>
      <c r="N92" s="405"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O92" s="368">
        <v>20</v>
      </c>
      <c r="P92" s="364" t="s">
        <v>27</v>
      </c>
      <c r="Q92" s="365">
        <v>10</v>
      </c>
      <c r="R92" s="369" t="s">
        <v>91</v>
      </c>
      <c r="S92" s="370" t="s">
        <v>29</v>
      </c>
      <c r="T92" s="371">
        <v>43374</v>
      </c>
      <c r="U92" s="372"/>
    </row>
    <row r="93" spans="1:21" ht="13" hidden="1">
      <c r="A93" s="373" t="str">
        <f>HYPERLINK("https://phillipreeve.net/blog/review-sony-fe-24mm-1-4-gm/","Sony GM 1.4/24")</f>
        <v>Sony GM 1.4/24</v>
      </c>
      <c r="B93" s="359">
        <v>445</v>
      </c>
      <c r="C93" s="439">
        <v>24</v>
      </c>
      <c r="D93" s="421">
        <v>1.4</v>
      </c>
      <c r="E93" s="440">
        <v>75</v>
      </c>
      <c r="F93" s="441">
        <v>92</v>
      </c>
      <c r="G93" s="364" t="s">
        <v>36</v>
      </c>
      <c r="H93" s="365" t="s">
        <v>73</v>
      </c>
      <c r="I93" s="365">
        <v>0.17</v>
      </c>
      <c r="J93" s="366">
        <v>1399</v>
      </c>
      <c r="K93" s="405" t="str">
        <f>HYPERLINK("https://amzn.to/2ywcbw1","link*")</f>
        <v>link*</v>
      </c>
      <c r="L93" s="405" t="str">
        <f>HYPERLINK("https://www.bhphotovideo.com/c/product/1435887-REG/sony_fe_24mm_f_1_4_gm.html/BI/19619/KBID/12129/DFF/d10-v21-t1-x915647/SID/EZ","link*")</f>
        <v>link*</v>
      </c>
      <c r="M93" s="405" t="str">
        <f>HYPERLINK("https://amzn.to/2L2tV9y","link*")</f>
        <v>link*</v>
      </c>
      <c r="N93" s="405" t="str">
        <f>HYPERLINK("https://amzn.to/338yg28","link*")</f>
        <v>link*</v>
      </c>
      <c r="O93" s="368">
        <v>25</v>
      </c>
      <c r="P93" s="364" t="s">
        <v>27</v>
      </c>
      <c r="Q93" s="365">
        <v>11</v>
      </c>
      <c r="R93" s="369" t="s">
        <v>28</v>
      </c>
      <c r="S93" s="370" t="s">
        <v>41</v>
      </c>
      <c r="T93" s="371">
        <v>43374</v>
      </c>
      <c r="U93" s="372"/>
    </row>
    <row r="94" spans="1:21" ht="13" hidden="1">
      <c r="A94" s="358" t="s">
        <v>121</v>
      </c>
      <c r="B94" s="390">
        <v>665</v>
      </c>
      <c r="C94" s="439">
        <v>24</v>
      </c>
      <c r="D94" s="421">
        <v>1.4</v>
      </c>
      <c r="E94" s="442">
        <v>85</v>
      </c>
      <c r="F94" s="443">
        <v>90</v>
      </c>
      <c r="G94" s="370" t="s">
        <v>36</v>
      </c>
      <c r="H94" s="365" t="s">
        <v>80</v>
      </c>
      <c r="I94" s="365">
        <v>0.19</v>
      </c>
      <c r="J94" s="366">
        <v>849</v>
      </c>
      <c r="K94" s="405" t="str">
        <f>HYPERLINK("https://amzn.to/2Isw2Rv","link*")</f>
        <v>link*</v>
      </c>
      <c r="L94" s="405" t="str">
        <f>HYPERLINK("https://www.bhphotovideo.com/c/product/1393491-REG/sigma_24mm_f_1_4_dg_hsm.html/BI/19619/KBID/12129/kw/SI2414SO/DFF/d10-v2-t1-xSI2414SO","link*")</f>
        <v>link*</v>
      </c>
      <c r="M94" s="405" t="str">
        <f>HYPERLINK("https://amzn.to/2K7sIP4","link*")</f>
        <v>link*</v>
      </c>
      <c r="N94" s="405"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O94" s="368">
        <v>25</v>
      </c>
      <c r="P94" s="364" t="s">
        <v>27</v>
      </c>
      <c r="Q94" s="365">
        <v>9</v>
      </c>
      <c r="R94" s="388">
        <v>43784</v>
      </c>
      <c r="S94" s="370" t="s">
        <v>47</v>
      </c>
      <c r="T94" s="371">
        <v>43221</v>
      </c>
      <c r="U94" s="372" t="s">
        <v>48</v>
      </c>
    </row>
    <row r="95" spans="1:21" ht="13" hidden="1">
      <c r="A95" s="373" t="str">
        <f>HYPERLINK("https://phillipreeve.net/blog/review-samyang-af-2-4-28-fe-at-least-its-small/","Samyang AF 24mm F/2.8")</f>
        <v>Samyang AF 24mm F/2.8</v>
      </c>
      <c r="B95" s="416">
        <v>93</v>
      </c>
      <c r="C95" s="439">
        <v>24</v>
      </c>
      <c r="D95" s="391">
        <v>2.8</v>
      </c>
      <c r="E95" s="435">
        <v>61</v>
      </c>
      <c r="F95" s="444">
        <v>37</v>
      </c>
      <c r="G95" s="364" t="s">
        <v>36</v>
      </c>
      <c r="H95" s="365" t="s">
        <v>124</v>
      </c>
      <c r="I95" s="365">
        <v>0.15</v>
      </c>
      <c r="J95" s="431">
        <v>279</v>
      </c>
      <c r="K95" s="405" t="str">
        <f>HYPERLINK("https://amzn.to/2NEHZ7c","link*")</f>
        <v>link*</v>
      </c>
      <c r="L95" s="405" t="str">
        <f>HYPERLINK("https://www.bhphotovideo.com/c/product/1413350-REG/samyang_syio24af_e_af_24mm_f_2_8_fe.html/BI/19619/KBID/12129/kw/SASYIO24AFE/DFF/d10-v2-t1-xSASYIO24AFE","link*")</f>
        <v>link*</v>
      </c>
      <c r="M95" s="405" t="str">
        <f>HYPERLINK("https://amzn.to/2Onv1QE","link*")</f>
        <v>link*</v>
      </c>
      <c r="N95" s="405"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95" s="368">
        <v>20</v>
      </c>
      <c r="P95" s="364" t="s">
        <v>27</v>
      </c>
      <c r="Q95" s="365">
        <v>9</v>
      </c>
      <c r="R95" s="369" t="s">
        <v>127</v>
      </c>
      <c r="S95" s="370" t="s">
        <v>38</v>
      </c>
      <c r="T95" s="371">
        <v>43282</v>
      </c>
      <c r="U95" s="372"/>
    </row>
    <row r="96" spans="1:21" ht="13" hidden="1">
      <c r="A96" s="445" t="str">
        <f>HYPERLINK("https://phillipreeve.net/blog/review-sony-fe-2-824-70mm-gm/","Sony GM 2.8/24-70")</f>
        <v>Sony GM 2.8/24-70</v>
      </c>
      <c r="B96" s="390">
        <v>886</v>
      </c>
      <c r="C96" s="439">
        <v>24</v>
      </c>
      <c r="D96" s="391">
        <v>2.8</v>
      </c>
      <c r="E96" s="446">
        <v>88</v>
      </c>
      <c r="F96" s="447">
        <v>136</v>
      </c>
      <c r="G96" s="364" t="s">
        <v>36</v>
      </c>
      <c r="H96" s="365" t="s">
        <v>68</v>
      </c>
      <c r="I96" s="448">
        <v>0.25</v>
      </c>
      <c r="J96" s="366">
        <v>2199</v>
      </c>
      <c r="K96" s="405" t="str">
        <f>HYPERLINK("https://amzn.to/2STHavK","link*")</f>
        <v>link*</v>
      </c>
      <c r="L96" s="405" t="str">
        <f>HYPERLINK("https://www.bhphotovideo.com/c/search?Ntt=gm%2024-70&amp;N=0&amp;InitialSearch=yes&amp;sts=ma&amp;Top+Nav-Search=&amp;BI=19619&amp;KBID=12129&amp;KWID=EZ","link*")</f>
        <v>link*</v>
      </c>
      <c r="M96" s="405" t="str">
        <f>HYPERLINK("https://amzn.to/2ZwoyU7","link*")</f>
        <v>link*</v>
      </c>
      <c r="N96" s="405"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96" s="368">
        <v>38</v>
      </c>
      <c r="P96" s="364" t="s">
        <v>27</v>
      </c>
      <c r="Q96" s="365">
        <v>11</v>
      </c>
      <c r="R96" s="369" t="s">
        <v>54</v>
      </c>
      <c r="S96" s="370" t="s">
        <v>41</v>
      </c>
      <c r="T96" s="371">
        <v>42401</v>
      </c>
      <c r="U96" s="372"/>
    </row>
    <row r="97" spans="1:21" ht="13" hidden="1">
      <c r="A97" s="358" t="s">
        <v>129</v>
      </c>
      <c r="B97" s="390">
        <v>780</v>
      </c>
      <c r="C97" s="439">
        <v>24</v>
      </c>
      <c r="D97" s="449" t="s">
        <v>130</v>
      </c>
      <c r="E97" s="450">
        <v>80</v>
      </c>
      <c r="F97" s="451">
        <v>119</v>
      </c>
      <c r="G97" s="364" t="s">
        <v>36</v>
      </c>
      <c r="H97" s="365" t="s">
        <v>64</v>
      </c>
      <c r="I97" s="448">
        <v>0.27</v>
      </c>
      <c r="J97" s="366">
        <v>998</v>
      </c>
      <c r="K97" s="405" t="str">
        <f>HYPERLINK("http://amzn.to/2fbX5FU","link*")</f>
        <v>link*</v>
      </c>
      <c r="L97" s="405" t="str">
        <f>HYPERLINK("https://www.bhphotovideo.com/c/search?Ntt=sony%2024-240&amp;N=0&amp;InitialSearch=yes&amp;sts=ma&amp;Top+Nav-Search=&amp;BI=19619&amp;KBID=12129&amp;KWID=EZ","link*")</f>
        <v>link*</v>
      </c>
      <c r="M97" s="405" t="str">
        <f>HYPERLINK("http://amzn.to/2wyrL7A","link*")</f>
        <v>link*</v>
      </c>
      <c r="N97" s="405"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97" s="368">
        <v>50</v>
      </c>
      <c r="P97" s="400" t="s">
        <v>66</v>
      </c>
      <c r="Q97" s="365">
        <v>7</v>
      </c>
      <c r="R97" s="369" t="s">
        <v>133</v>
      </c>
      <c r="S97" s="370" t="s">
        <v>41</v>
      </c>
      <c r="T97" s="371">
        <v>42064</v>
      </c>
      <c r="U97" s="372"/>
    </row>
    <row r="98" spans="1:21" ht="13" hidden="1">
      <c r="A98" s="358" t="s">
        <v>134</v>
      </c>
      <c r="B98" s="390">
        <v>663</v>
      </c>
      <c r="C98" s="439">
        <v>24</v>
      </c>
      <c r="D98" s="361">
        <v>4</v>
      </c>
      <c r="E98" s="452">
        <v>83</v>
      </c>
      <c r="F98" s="453">
        <v>113</v>
      </c>
      <c r="G98" s="364" t="s">
        <v>36</v>
      </c>
      <c r="H98" s="365" t="s">
        <v>80</v>
      </c>
      <c r="I98" s="448">
        <v>0.31</v>
      </c>
      <c r="J98" s="366">
        <v>1398</v>
      </c>
      <c r="K98" s="405" t="str">
        <f>HYPERLINK("https://amzn.to/2K7LwMR","link*")</f>
        <v>link*</v>
      </c>
      <c r="L98" s="405" t="str">
        <f>HYPERLINK("https://www.bhphotovideo.com/c/search?Ntt=sony%2024-105&amp;N=0&amp;InitialSearch=yes&amp;sts=ma&amp;Top+Nav-Search=&amp;BI=19619&amp;KBID=12129&amp;KWID=EZ","link*")</f>
        <v>link*</v>
      </c>
      <c r="M98" s="405" t="str">
        <f>HYPERLINK("https://amzn.to/2Ld8hOS","link*")</f>
        <v>link*</v>
      </c>
      <c r="N98" s="405"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98" s="368">
        <v>38</v>
      </c>
      <c r="P98" s="400" t="s">
        <v>66</v>
      </c>
      <c r="Q98" s="365">
        <v>9</v>
      </c>
      <c r="R98" s="369" t="s">
        <v>135</v>
      </c>
      <c r="S98" s="370" t="s">
        <v>41</v>
      </c>
      <c r="T98" s="371">
        <v>43009</v>
      </c>
      <c r="U98" s="372"/>
    </row>
    <row r="99" spans="1:21" ht="13" hidden="1">
      <c r="A99" s="373" t="str">
        <f>HYPERLINK("https://phillipreeve.net/blog/rolling-review-carl-zeiss-vario-tessar-t-fe-424-70-za/","Sony ZA 4/24-70 OSS")</f>
        <v>Sony ZA 4/24-70 OSS</v>
      </c>
      <c r="B99" s="359">
        <v>426</v>
      </c>
      <c r="C99" s="439">
        <v>24</v>
      </c>
      <c r="D99" s="361">
        <v>4</v>
      </c>
      <c r="E99" s="454">
        <v>73</v>
      </c>
      <c r="F99" s="455">
        <v>95</v>
      </c>
      <c r="G99" s="364" t="s">
        <v>36</v>
      </c>
      <c r="H99" s="365" t="s">
        <v>73</v>
      </c>
      <c r="I99" s="365">
        <v>0.2</v>
      </c>
      <c r="J99" s="366">
        <v>898</v>
      </c>
      <c r="K99" s="405" t="str">
        <f>HYPERLINK("http://amzn.to/2vlG2Yq","link*")</f>
        <v>link*</v>
      </c>
      <c r="L99" s="405" t="str">
        <f>HYPERLINK("https://www.bhphotovideo.com/c/product/1008126-REG/sony_sel2470z_vario_tessar_t_fe_24_70mm.html/BI/19619/KBID/12129/DFF/d10-v21-t1-x466842/SID/EZ","link*")</f>
        <v>link*</v>
      </c>
      <c r="M99" s="405" t="str">
        <f>HYPERLINK("http://amzn.to/2fl1XZk","link*")</f>
        <v>link*</v>
      </c>
      <c r="N99" s="405"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99" s="368">
        <v>40</v>
      </c>
      <c r="P99" s="400" t="s">
        <v>66</v>
      </c>
      <c r="Q99" s="365">
        <v>7</v>
      </c>
      <c r="R99" s="369" t="s">
        <v>43</v>
      </c>
      <c r="S99" s="370" t="s">
        <v>41</v>
      </c>
      <c r="T99" s="371">
        <v>41640</v>
      </c>
      <c r="U99" s="372"/>
    </row>
    <row r="100" spans="1:21" ht="13" hidden="1">
      <c r="A100" s="373" t="str">
        <f>HYPERLINK("https://phillipreeve.net/blog/review-zeiss-batis-distagon-t-25mm-f2/","Zeiss Batis 2/25")</f>
        <v>Zeiss Batis 2/25</v>
      </c>
      <c r="B100" s="374">
        <v>335</v>
      </c>
      <c r="C100" s="457">
        <v>25</v>
      </c>
      <c r="D100" s="428">
        <v>2</v>
      </c>
      <c r="E100" s="458">
        <v>92</v>
      </c>
      <c r="F100" s="459">
        <v>78</v>
      </c>
      <c r="G100" s="364" t="s">
        <v>36</v>
      </c>
      <c r="H100" s="365" t="s">
        <v>73</v>
      </c>
      <c r="I100" s="365">
        <v>0.19</v>
      </c>
      <c r="J100" s="366">
        <v>1299</v>
      </c>
      <c r="K100" s="405" t="str">
        <f>HYPERLINK("https://amzn.to/2ypHQiT","link*")</f>
        <v>link*</v>
      </c>
      <c r="L100" s="405" t="str">
        <f>HYPERLINK("https://www.bhphotovideo.com/c/product/1140832-REG/zeiss_2103_750_25mm_f_2_0_batis_wide.html/BI/19619/KBID/12129/DFF/d10-v21-t1-x627141/SID/EZ","link*")</f>
        <v>link*</v>
      </c>
      <c r="M100" s="405" t="str">
        <f>HYPERLINK("https://amzn.to/2L20DIj","link*")</f>
        <v>link*</v>
      </c>
      <c r="N100" s="405"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100" s="368">
        <v>20</v>
      </c>
      <c r="P100" s="364" t="s">
        <v>27</v>
      </c>
      <c r="Q100" s="365">
        <v>9</v>
      </c>
      <c r="R100" s="369" t="s">
        <v>140</v>
      </c>
      <c r="S100" s="370" t="s">
        <v>87</v>
      </c>
      <c r="T100" s="371">
        <v>42125</v>
      </c>
      <c r="U100" s="372"/>
    </row>
    <row r="101" spans="1:21" ht="13" hidden="1">
      <c r="A101" s="373" t="str">
        <f>HYPERLINK("https://phillipreeve.net/blog/review-zeiss-loxia-2-4-25mm-distagon/","Zeiss Loxia 2.4/25")</f>
        <v>Zeiss Loxia 2.4/25</v>
      </c>
      <c r="B101" s="374">
        <v>393</v>
      </c>
      <c r="C101" s="457">
        <v>25</v>
      </c>
      <c r="D101" s="460">
        <v>2.4</v>
      </c>
      <c r="E101" s="435">
        <v>62</v>
      </c>
      <c r="F101" s="461">
        <v>75</v>
      </c>
      <c r="G101" s="377" t="s">
        <v>25</v>
      </c>
      <c r="H101" s="365" t="s">
        <v>131</v>
      </c>
      <c r="I101" s="462">
        <v>0.16</v>
      </c>
      <c r="J101" s="366">
        <v>1299</v>
      </c>
      <c r="K101" s="405" t="str">
        <f>HYPERLINK("https://amzn.to/2OlyeAf","link*")</f>
        <v>link*</v>
      </c>
      <c r="L101" s="405" t="str">
        <f>HYPERLINK("https://www.bhphotovideo.com/c/product/1389169-REG/zeiss_000000_2218_783_loxia_25mm_f_2_4_lens.html/BI/19619/KBID/12129/kw/ZE2524L/DFF/d10-v2-t1-xZE2524L","link*")</f>
        <v>link*</v>
      </c>
      <c r="M101" s="405" t="str">
        <f>HYPERLINK("https://amzn.to/2OlyeAf","link*")</f>
        <v>link*</v>
      </c>
      <c r="N101" s="405" t="e">
        <f>HYPERLINK("http://rover.ebay.com/rover/1/711-53200-19255-0/1?icep_ff3=9&amp;pub=5575076376&amp;toolid=10001&amp;campid=5338573609&amp;customid=&amp;icep_uq=Zeissloxia+25mm&amp;icep_sellerId=&amp;icep_ex_kw=&amp;icep_sortBy=12&amp;icep_catId=3323&amp;icep_minPrice=&amp;icep_maxPrice=&amp;ipn=psmain&amp;icep_vectorid=2"&amp;"29466&amp;kwid=902099&amp;mtid=824&amp;kw=lg","link*")</f>
        <v>#VALUE!</v>
      </c>
      <c r="O101" s="368">
        <v>25</v>
      </c>
      <c r="P101" s="364" t="s">
        <v>27</v>
      </c>
      <c r="Q101" s="462">
        <v>10</v>
      </c>
      <c r="R101" s="369" t="s">
        <v>140</v>
      </c>
      <c r="S101" s="419" t="s">
        <v>87</v>
      </c>
      <c r="T101" s="371">
        <v>43160</v>
      </c>
      <c r="U101" s="372"/>
    </row>
    <row r="102" spans="1:21" ht="13" hidden="1">
      <c r="A102" s="358" t="s">
        <v>141</v>
      </c>
      <c r="B102" s="383">
        <v>965</v>
      </c>
      <c r="C102" s="464">
        <v>28</v>
      </c>
      <c r="D102" s="421">
        <v>1.4</v>
      </c>
      <c r="E102" s="452">
        <v>83</v>
      </c>
      <c r="F102" s="465">
        <v>134</v>
      </c>
      <c r="G102" s="364" t="s">
        <v>36</v>
      </c>
      <c r="H102" s="365" t="s">
        <v>80</v>
      </c>
      <c r="I102" s="462">
        <v>0.19</v>
      </c>
      <c r="J102" s="366">
        <v>1399</v>
      </c>
      <c r="K102" s="405" t="str">
        <f>HYPERLINK("https://amzn.to/2Wn0pxO","link*")</f>
        <v>link*</v>
      </c>
      <c r="L102" s="405" t="str">
        <f>HYPERLINK("https://www.bhphotovideo.com/c/product/1436285-REG/sigma_28mm_f_1_4_dg_hsm.html/BI/19619/KBID/12129/kw/SI2814DGSE/DFF/d10-v2-t1-xSI2814DGSE","link*")</f>
        <v>link*</v>
      </c>
      <c r="M102" s="405" t="str">
        <f>HYPERLINK("https://amzn.to/2WzVkHd","link*")</f>
        <v>link*</v>
      </c>
      <c r="N102" s="405"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c r="O102" s="368">
        <v>28</v>
      </c>
      <c r="P102" s="364" t="s">
        <v>27</v>
      </c>
      <c r="Q102" s="462">
        <v>9</v>
      </c>
      <c r="R102" s="369" t="s">
        <v>133</v>
      </c>
      <c r="S102" s="419" t="s">
        <v>47</v>
      </c>
      <c r="T102" s="371">
        <v>43435</v>
      </c>
      <c r="U102" s="372"/>
    </row>
    <row r="103" spans="1:21" ht="13" hidden="1">
      <c r="A103" s="373" t="str">
        <f>HYPERLINK("https://www.systemkamera-forum.de/blog/2015/05/sony-fe-28mm-f2-test-und-erfahrungsbericht/","Sony FE 2/28")</f>
        <v>Sony FE 2/28</v>
      </c>
      <c r="B103" s="416">
        <v>200</v>
      </c>
      <c r="C103" s="464">
        <v>28</v>
      </c>
      <c r="D103" s="428">
        <v>2</v>
      </c>
      <c r="E103" s="435">
        <v>60</v>
      </c>
      <c r="F103" s="466">
        <v>60</v>
      </c>
      <c r="G103" s="364" t="s">
        <v>36</v>
      </c>
      <c r="H103" s="462" t="s">
        <v>124</v>
      </c>
      <c r="I103" s="462">
        <v>0.13</v>
      </c>
      <c r="J103" s="410">
        <v>448</v>
      </c>
      <c r="K103" s="405" t="str">
        <f>HYPERLINK("https://amzn.to/2GXJWdo","link*")</f>
        <v>link*</v>
      </c>
      <c r="L103" s="405" t="str">
        <f>HYPERLINK("https://www.bhphotovideo.com/c/product/1402637-REG/sony_fe_28mm_f_2_lens.html/BI/19619/KBID/12129/kw/SO2820F/DFF/d10-v2-t1-xSO2820F","link*")</f>
        <v>link*</v>
      </c>
      <c r="M103" s="405" t="str">
        <f>HYPERLINK("http://amzn.to/2wyLOCO","link*")</f>
        <v>link*</v>
      </c>
      <c r="N103" s="405"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103" s="368">
        <v>29</v>
      </c>
      <c r="P103" s="364" t="s">
        <v>27</v>
      </c>
      <c r="Q103" s="462">
        <v>9</v>
      </c>
      <c r="R103" s="369" t="s">
        <v>91</v>
      </c>
      <c r="S103" s="419" t="s">
        <v>41</v>
      </c>
      <c r="T103" s="371">
        <v>42064</v>
      </c>
      <c r="U103" s="372"/>
    </row>
    <row r="104" spans="1:21" ht="13" hidden="1">
      <c r="A104" s="373" t="str">
        <f>HYPERLINK("https://phillipreeve.net/blog/review-tamron-28-75mm-f-2-8-di-iii-rxd-sony-e-mount/","Tamron 2.8/28-75")</f>
        <v>Tamron 2.8/28-75</v>
      </c>
      <c r="B104" s="359">
        <v>550</v>
      </c>
      <c r="C104" s="464">
        <v>28</v>
      </c>
      <c r="D104" s="391">
        <v>2.8</v>
      </c>
      <c r="E104" s="454">
        <v>73</v>
      </c>
      <c r="F104" s="467">
        <v>118</v>
      </c>
      <c r="G104" s="364" t="s">
        <v>36</v>
      </c>
      <c r="H104" s="365" t="s">
        <v>73</v>
      </c>
      <c r="I104" s="468">
        <v>0.34</v>
      </c>
      <c r="J104" s="410">
        <v>879</v>
      </c>
      <c r="K104" s="405" t="str">
        <f>HYPERLINK("https://amzn.to/2ST5uxq","link*")</f>
        <v>link*</v>
      </c>
      <c r="L104" s="405" t="str">
        <f>HYPERLINK("https://www.bhphotovideo.com/c/product/1393332-REG/tamron_a036_28_75mm_f_2_8_di_iii.html/BI/19619/KBID/12129/DFF/d10-v21-t1-x892059/SID/EZ","link*")</f>
        <v>link*</v>
      </c>
      <c r="M104" s="405" t="str">
        <f>HYPERLINK("https://amzn.to/2ZmSzdU","link*")</f>
        <v>link*</v>
      </c>
      <c r="N104" s="405"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104" s="368">
        <v>19</v>
      </c>
      <c r="P104" s="364" t="s">
        <v>27</v>
      </c>
      <c r="Q104" s="462">
        <v>9</v>
      </c>
      <c r="R104" s="369" t="s">
        <v>122</v>
      </c>
      <c r="S104" s="419" t="s">
        <v>78</v>
      </c>
      <c r="T104" s="371">
        <v>43252</v>
      </c>
      <c r="U104" s="372"/>
    </row>
    <row r="105" spans="1:21" ht="13" hidden="1">
      <c r="A105" s="358" t="s">
        <v>145</v>
      </c>
      <c r="B105" s="374">
        <v>295</v>
      </c>
      <c r="C105" s="464">
        <v>28</v>
      </c>
      <c r="D105" s="449" t="s">
        <v>146</v>
      </c>
      <c r="E105" s="454">
        <v>73</v>
      </c>
      <c r="F105" s="470">
        <v>83</v>
      </c>
      <c r="G105" s="364" t="s">
        <v>36</v>
      </c>
      <c r="H105" s="462" t="s">
        <v>147</v>
      </c>
      <c r="I105" s="462">
        <v>0.19</v>
      </c>
      <c r="J105" s="366">
        <v>398</v>
      </c>
      <c r="K105" s="405" t="str">
        <f>HYPERLINK("https://www.amazon.com/gp/product/B00FYOFADE/ref=as_li_tl?ie=UTF8&amp;tag=wwwphillipree-20&amp;camp=1789&amp;creative=9325&amp;linkCode=as2&amp;creativeASIN=B00FYOFADE&amp;linkId=96720b245156eae53bb1a672d4453d3f","link*")</f>
        <v>link*</v>
      </c>
      <c r="L105" s="405" t="str">
        <f>HYPERLINK("https://www.bhphotovideo.com/c/product/1015472-REG/sony_sel2870_fe_28_70mm_f_3_5_5_6_oss.html/BI/19619/KBID/12129/DFF/d10-v21-t1-x473993/SID/EZ","link*")</f>
        <v>link*</v>
      </c>
      <c r="M105" s="405" t="str">
        <f>HYPERLINK("https://www.amazon.de/gp/product/B00HSHFPD0/ref=as_li_tl?ie=UTF8&amp;tag=wwwphillipree-21&amp;camp=1638&amp;creative=6742&amp;linkCode=as2&amp;creativeASIN=B00HSHFPD0&amp;linkId=6701f30673f8a4071232ca85e1953506","link*")</f>
        <v>link*</v>
      </c>
      <c r="N105" s="405"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105" s="368">
        <v>30</v>
      </c>
      <c r="P105" s="471" t="s">
        <v>66</v>
      </c>
      <c r="Q105" s="462">
        <v>7</v>
      </c>
      <c r="R105" s="369" t="s">
        <v>91</v>
      </c>
      <c r="S105" s="419" t="s">
        <v>41</v>
      </c>
      <c r="T105" s="371">
        <v>41548</v>
      </c>
      <c r="U105" s="372"/>
    </row>
    <row r="106" spans="1:21" ht="13" hidden="1">
      <c r="A106" s="472" t="s">
        <v>151</v>
      </c>
      <c r="B106" s="383">
        <v>1215</v>
      </c>
      <c r="C106" s="464">
        <v>28</v>
      </c>
      <c r="D106" s="361">
        <v>4</v>
      </c>
      <c r="E106" s="473">
        <v>105</v>
      </c>
      <c r="F106" s="474">
        <v>165</v>
      </c>
      <c r="G106" s="364" t="s">
        <v>36</v>
      </c>
      <c r="H106" s="475" t="s">
        <v>152</v>
      </c>
      <c r="I106" s="419"/>
      <c r="J106" s="366">
        <v>249</v>
      </c>
      <c r="K106" s="405" t="str">
        <f>HYPERLINK("http://amzn.to/2v2kiy9","link*")</f>
        <v>link*</v>
      </c>
      <c r="L106" s="405" t="str">
        <f>HYPERLINK("https://www.bhphotovideo.com/c/product/1082051-REG/sony_selp28135g_e_pz_28_135mm_f_4.html/BI/19619/KBID/12129/DFF/d10-v21-t1-x556056/SID/EZ","link*")</f>
        <v>link*</v>
      </c>
      <c r="M106" s="405" t="str">
        <f>HYPERLINK("http://amzn.to/2wlpg9b","link*")</f>
        <v>link*</v>
      </c>
      <c r="N106" s="405"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106" s="368">
        <v>40</v>
      </c>
      <c r="P106" s="471" t="s">
        <v>66</v>
      </c>
      <c r="Q106" s="462">
        <v>9</v>
      </c>
      <c r="R106" s="369" t="s">
        <v>153</v>
      </c>
      <c r="S106" s="419" t="s">
        <v>41</v>
      </c>
      <c r="T106" s="371">
        <v>41883</v>
      </c>
      <c r="U106" s="357" t="s">
        <v>154</v>
      </c>
    </row>
    <row r="107" spans="1:21" ht="13" hidden="1">
      <c r="A107" s="406" t="str">
        <f>HYPERLINK("https://phillipreeve.net/blog/review-sigma-35mm-1-2-art-dg-dn/","Sigma Art 1.2/35")</f>
        <v>Sigma Art 1.2/35</v>
      </c>
      <c r="B107" s="383">
        <v>1090</v>
      </c>
      <c r="C107" s="477">
        <v>35</v>
      </c>
      <c r="D107" s="478">
        <v>1.2</v>
      </c>
      <c r="E107" s="446">
        <v>88</v>
      </c>
      <c r="F107" s="447">
        <v>136</v>
      </c>
      <c r="G107" s="419" t="s">
        <v>36</v>
      </c>
      <c r="H107" s="479" t="s">
        <v>68</v>
      </c>
      <c r="I107" s="462">
        <v>0.19</v>
      </c>
      <c r="J107" s="366">
        <v>1499</v>
      </c>
      <c r="K107" s="405" t="str">
        <f>HYPERLINK("https://amzn.to/2LiHhxc","link*")</f>
        <v>link*</v>
      </c>
      <c r="L107" s="405" t="str">
        <f>HYPERLINK("https://www.bhphotovideo.com/c/product/1492967-REG/sigma_341969_35mm_f_1_2_dg_dn.html/BI/19619/KBID/12129/DFF/d10-v21-t1-x976038/SID/EZ","link*")</f>
        <v>link*</v>
      </c>
      <c r="M107" s="419"/>
      <c r="N107" s="405"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c r="O107" s="368">
        <v>30</v>
      </c>
      <c r="P107" s="364" t="s">
        <v>27</v>
      </c>
      <c r="Q107" s="462">
        <v>11</v>
      </c>
      <c r="R107" s="388">
        <v>43816</v>
      </c>
      <c r="S107" s="419" t="s">
        <v>47</v>
      </c>
      <c r="T107" s="371">
        <v>43647</v>
      </c>
      <c r="U107" s="372"/>
    </row>
    <row r="108" spans="1:21" ht="13" hidden="1">
      <c r="A108" s="373" t="str">
        <f>HYPERLINK("https://phillipreeve.net/blog/review-sony-fe-35mm-1-4-za/","Sony ZA 1.4/35")</f>
        <v>Sony ZA 1.4/35</v>
      </c>
      <c r="B108" s="359">
        <v>630</v>
      </c>
      <c r="C108" s="477">
        <v>35</v>
      </c>
      <c r="D108" s="421">
        <v>1.4</v>
      </c>
      <c r="E108" s="480">
        <v>79</v>
      </c>
      <c r="F108" s="481">
        <v>112</v>
      </c>
      <c r="G108" s="419" t="s">
        <v>36</v>
      </c>
      <c r="H108" s="462" t="s">
        <v>64</v>
      </c>
      <c r="I108" s="462">
        <v>0.18</v>
      </c>
      <c r="J108" s="366">
        <v>1599</v>
      </c>
      <c r="K108" s="405" t="str">
        <f>HYPERLINK("https://amzn.to/2LRSMOS","link*")</f>
        <v>link*</v>
      </c>
      <c r="L108" s="405" t="str">
        <f>HYPERLINK("https://www.bhphotovideo.com/c/product/1126137-REG/sony_sel35f14z_distagon_t_fe_35mm.html/BI/19619/KBID/12129/DFF/d10-v21-t1-x612725/SID/EZ","link*")</f>
        <v>link*</v>
      </c>
      <c r="M108" s="405" t="str">
        <f>HYPERLINK("https://amzn.to/2ZmfSnX","link*")</f>
        <v>link*</v>
      </c>
      <c r="N108" s="405"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108" s="368">
        <v>30</v>
      </c>
      <c r="P108" s="364" t="s">
        <v>27</v>
      </c>
      <c r="Q108" s="462">
        <v>9</v>
      </c>
      <c r="R108" s="388">
        <v>43689</v>
      </c>
      <c r="S108" s="419" t="s">
        <v>41</v>
      </c>
      <c r="T108" s="371">
        <v>42064</v>
      </c>
      <c r="U108" s="372"/>
    </row>
    <row r="109" spans="1:21" ht="13" hidden="1">
      <c r="A109" s="358" t="s">
        <v>155</v>
      </c>
      <c r="B109" s="359">
        <v>645</v>
      </c>
      <c r="C109" s="477">
        <v>35</v>
      </c>
      <c r="D109" s="421">
        <v>1.4</v>
      </c>
      <c r="E109" s="482">
        <v>76</v>
      </c>
      <c r="F109" s="483">
        <v>115</v>
      </c>
      <c r="G109" s="419" t="s">
        <v>36</v>
      </c>
      <c r="H109" s="462" t="s">
        <v>73</v>
      </c>
      <c r="I109" s="462">
        <v>0.17</v>
      </c>
      <c r="J109" s="366">
        <v>799</v>
      </c>
      <c r="K109" s="405" t="str">
        <f>HYPERLINK("https://amzn.to/2K8DDXH","link*")</f>
        <v>link*</v>
      </c>
      <c r="L109" s="405" t="str">
        <f t="shared" ref="L109:L110" si="3">HYPERLINK("https://www.bhphotovideo.com/c/product/1381712-REG/voigtlander_nokton_classic_35mm_f_1_4.html/BI/19619/KBID/12129/DFF/d10-v21-t1-x877353/SID/EZ","link*")</f>
        <v>link*</v>
      </c>
      <c r="M109" s="405" t="str">
        <f>HYPERLINK("https://amzn.to/2Zhl3FI","link*")</f>
        <v>link*</v>
      </c>
      <c r="N109" s="405"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109" s="368">
        <v>30</v>
      </c>
      <c r="P109" s="364" t="s">
        <v>27</v>
      </c>
      <c r="Q109" s="462">
        <v>9</v>
      </c>
      <c r="R109" s="388">
        <v>43719</v>
      </c>
      <c r="S109" s="419" t="s">
        <v>38</v>
      </c>
      <c r="T109" s="371">
        <v>43009</v>
      </c>
      <c r="U109" s="357" t="s">
        <v>156</v>
      </c>
    </row>
    <row r="110" spans="1:21" ht="13" hidden="1">
      <c r="A110" s="373" t="str">
        <f>HYPERLINK("https://phillipreeve.net/blog/review-voigtlander-35mm-1-4-nokton-e-classic/","Voigtlander 35mm F1.4 Nokton Classic")</f>
        <v>Voigtlander 35mm F1.4 Nokton Classic</v>
      </c>
      <c r="B110" s="374">
        <v>262</v>
      </c>
      <c r="C110" s="477">
        <v>35</v>
      </c>
      <c r="D110" s="421">
        <v>1.4</v>
      </c>
      <c r="E110" s="484">
        <v>67</v>
      </c>
      <c r="F110" s="438">
        <v>40</v>
      </c>
      <c r="G110" s="485" t="s">
        <v>25</v>
      </c>
      <c r="H110" s="462" t="s">
        <v>71</v>
      </c>
      <c r="I110" s="462">
        <v>0.16</v>
      </c>
      <c r="J110" s="366">
        <v>799</v>
      </c>
      <c r="K110" s="405" t="str">
        <f>HYPERLINK("https://amzn.to/2M1M8WH","link*")</f>
        <v>link*</v>
      </c>
      <c r="L110" s="405" t="str">
        <f t="shared" si="3"/>
        <v>link*</v>
      </c>
      <c r="M110" s="405" t="str">
        <f>HYPERLINK("https://amzn.to/2ZswTZ3","link*")</f>
        <v>link*</v>
      </c>
      <c r="N110" s="405"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c r="O110" s="368">
        <v>30</v>
      </c>
      <c r="P110" s="364" t="s">
        <v>27</v>
      </c>
      <c r="Q110" s="462">
        <v>10</v>
      </c>
      <c r="R110" s="388">
        <v>43624</v>
      </c>
      <c r="S110" s="419" t="s">
        <v>29</v>
      </c>
      <c r="T110" s="371">
        <v>43132</v>
      </c>
      <c r="U110" s="372"/>
    </row>
    <row r="111" spans="1:21" ht="13" hidden="1">
      <c r="A111" s="373" t="str">
        <f>HYPERLINK("https://phillipreeve.net/blog/review-sigma-35mm-1-4-art/","Sigma Art 1.4/35")</f>
        <v>Sigma Art 1.4/35</v>
      </c>
      <c r="B111" s="390">
        <v>740</v>
      </c>
      <c r="C111" s="477">
        <v>35</v>
      </c>
      <c r="D111" s="421">
        <v>1.4</v>
      </c>
      <c r="E111" s="486">
        <v>77</v>
      </c>
      <c r="F111" s="487">
        <v>94</v>
      </c>
      <c r="G111" s="419" t="s">
        <v>36</v>
      </c>
      <c r="H111" s="462" t="s">
        <v>73</v>
      </c>
      <c r="I111" s="462">
        <v>0.19</v>
      </c>
      <c r="J111" s="410">
        <v>899</v>
      </c>
      <c r="K111" s="405" t="str">
        <f>HYPERLINK("https://amzn.to/2LOaQcZ","link*")</f>
        <v>link*</v>
      </c>
      <c r="L111" s="405" t="str">
        <f>HYPERLINK("https://www.bhphotovideo.com/c/product/1393492-REG/sigma_35mm_f_1_4_dg_hsm.html/BI/19619/KBID/12129/DFF/d10-v21-t1-x881157/SID/EZ","link*")</f>
        <v>link*</v>
      </c>
      <c r="M111" s="405" t="str">
        <f>HYPERLINK("https://amzn.to/2ZrfakE","link*")</f>
        <v>link*</v>
      </c>
      <c r="N111" s="405"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O111" s="368">
        <v>30</v>
      </c>
      <c r="P111" s="364" t="s">
        <v>27</v>
      </c>
      <c r="Q111" s="462">
        <v>9</v>
      </c>
      <c r="R111" s="388">
        <v>43782</v>
      </c>
      <c r="S111" s="419" t="s">
        <v>47</v>
      </c>
      <c r="T111" s="371">
        <v>43221</v>
      </c>
      <c r="U111" s="372" t="s">
        <v>48</v>
      </c>
    </row>
    <row r="112" spans="1:21" ht="13" hidden="1">
      <c r="A112" s="424" t="s">
        <v>157</v>
      </c>
      <c r="B112" s="374">
        <v>280</v>
      </c>
      <c r="C112" s="477">
        <v>35</v>
      </c>
      <c r="D112" s="385">
        <v>1.8</v>
      </c>
      <c r="E112" s="489">
        <v>66</v>
      </c>
      <c r="F112" s="490">
        <v>73</v>
      </c>
      <c r="G112" s="419" t="s">
        <v>36</v>
      </c>
      <c r="H112" s="462" t="s">
        <v>147</v>
      </c>
      <c r="I112" s="468">
        <v>0.24</v>
      </c>
      <c r="J112" s="366">
        <v>749</v>
      </c>
      <c r="K112" s="419"/>
      <c r="L112" s="405" t="str">
        <f>HYPERLINK("https://www.bhphotovideo.com/c/product/1492866-REG/sony_sel35f18f_35mm_f_1_8_fe_lens.html/BI/19619/KBID/12129/DFF/d10-v21-t1-x975763/SID/EZ","link*")</f>
        <v>link*</v>
      </c>
      <c r="M112" s="405" t="str">
        <f>HYPERLINK("https://amzn.to/2PiATLC","link*")</f>
        <v>link*</v>
      </c>
      <c r="N112" s="405"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112" s="368">
        <v>22</v>
      </c>
      <c r="P112" s="364" t="s">
        <v>27</v>
      </c>
      <c r="Q112" s="462">
        <v>9</v>
      </c>
      <c r="R112" s="388">
        <v>43719</v>
      </c>
      <c r="S112" s="419" t="s">
        <v>41</v>
      </c>
      <c r="T112" s="371">
        <v>43647</v>
      </c>
      <c r="U112" s="372"/>
    </row>
    <row r="113" spans="1:21" ht="13" hidden="1">
      <c r="A113" s="373" t="str">
        <f>HYPERLINK("https://phillipreeve.net/blog/review-zeiss-loxia-35mm-2-0/","Zeiss Loxia 2/35 Biogon T*")</f>
        <v>Zeiss Loxia 2/35 Biogon T*</v>
      </c>
      <c r="B113" s="374">
        <v>340</v>
      </c>
      <c r="C113" s="477">
        <v>35</v>
      </c>
      <c r="D113" s="428">
        <v>2</v>
      </c>
      <c r="E113" s="435">
        <v>62</v>
      </c>
      <c r="F113" s="491">
        <v>66</v>
      </c>
      <c r="G113" s="485" t="s">
        <v>25</v>
      </c>
      <c r="H113" s="462" t="s">
        <v>131</v>
      </c>
      <c r="I113" s="462">
        <v>0.17</v>
      </c>
      <c r="J113" s="366">
        <v>1299</v>
      </c>
      <c r="K113" s="405" t="str">
        <f>HYPERLINK("https://amzn.to/2T2sJWe","link*")</f>
        <v>link*</v>
      </c>
      <c r="L113" s="405" t="str">
        <f>HYPERLINK("https://www.bhphotovideo.com/c/product/1080388-REG/zeiss_2103_749_loxia_35mm_f_2_biogon.html/BI/19619/KBID/12129/DFF/d10-v21-t1-x553792/SID/EZ","link*")</f>
        <v>link*</v>
      </c>
      <c r="M113" s="419" t="s">
        <v>51</v>
      </c>
      <c r="N113" s="405"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O113" s="368">
        <v>30</v>
      </c>
      <c r="P113" s="364" t="s">
        <v>27</v>
      </c>
      <c r="Q113" s="462">
        <v>10</v>
      </c>
      <c r="R113" s="388">
        <v>43625</v>
      </c>
      <c r="S113" s="419" t="s">
        <v>87</v>
      </c>
      <c r="T113" s="371">
        <v>41974</v>
      </c>
      <c r="U113" s="357" t="s">
        <v>166</v>
      </c>
    </row>
    <row r="114" spans="1:21" ht="13" hidden="1">
      <c r="A114" s="373" t="str">
        <f>HYPERLINK("http://www.photozone.de/sonyalphaff/865-zeiss35f28ff","Sony ZA 2.8/35")</f>
        <v>Sony ZA 2.8/35</v>
      </c>
      <c r="B114" s="416">
        <v>120</v>
      </c>
      <c r="C114" s="477">
        <v>35</v>
      </c>
      <c r="D114" s="391">
        <v>2.8</v>
      </c>
      <c r="E114" s="435">
        <v>62</v>
      </c>
      <c r="F114" s="444">
        <v>37</v>
      </c>
      <c r="G114" s="419" t="s">
        <v>36</v>
      </c>
      <c r="H114" s="462" t="s">
        <v>124</v>
      </c>
      <c r="I114" s="462">
        <v>0.12</v>
      </c>
      <c r="J114" s="366">
        <v>798</v>
      </c>
      <c r="K114" s="405" t="str">
        <f>HYPERLINK("https://amzn.to/2yvhL24","link*")</f>
        <v>link*</v>
      </c>
      <c r="L114" s="405" t="str">
        <f>HYPERLINK("https://www.bhphotovideo.com/c/product/1008123-REG/sony_sel35f28z_sonnar_t_fe_35mm.html/BI/19619/KBID/12129/DFF/d10-v21-t1-x466840/SID/EZ","link*")</f>
        <v>link*</v>
      </c>
      <c r="M114" s="419" t="s">
        <v>51</v>
      </c>
      <c r="N114" s="405"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114" s="368">
        <v>35</v>
      </c>
      <c r="P114" s="364" t="s">
        <v>27</v>
      </c>
      <c r="Q114" s="462">
        <v>9</v>
      </c>
      <c r="R114" s="388">
        <v>43592</v>
      </c>
      <c r="S114" s="419" t="s">
        <v>41</v>
      </c>
      <c r="T114" s="371">
        <v>41487</v>
      </c>
      <c r="U114" s="372"/>
    </row>
    <row r="115" spans="1:21" ht="13" hidden="1">
      <c r="A115" s="472" t="s">
        <v>158</v>
      </c>
      <c r="B115" s="416">
        <v>86</v>
      </c>
      <c r="C115" s="477">
        <v>35</v>
      </c>
      <c r="D115" s="391">
        <v>2.8</v>
      </c>
      <c r="E115" s="435">
        <v>62</v>
      </c>
      <c r="F115" s="492">
        <v>33</v>
      </c>
      <c r="G115" s="419" t="s">
        <v>36</v>
      </c>
      <c r="H115" s="462" t="s">
        <v>124</v>
      </c>
      <c r="I115" s="462">
        <v>0.12</v>
      </c>
      <c r="J115" s="493">
        <v>399</v>
      </c>
      <c r="K115" s="405" t="str">
        <f t="shared" ref="K115:K116" si="4">HYPERLINK("https://amzn.to/2MGKrxp","link*")</f>
        <v>link*</v>
      </c>
      <c r="L115" s="405" t="str">
        <f>HYPERLINK("https://www.bhphotovideo.com/c/product/1348365-REG/samyang_syio35af_e_35mm_f2_8_compact_wide.html/BI/19619/KBID/12129/DFF/d10-v21-t1-x832776/SID/EZ","link*")</f>
        <v>link*</v>
      </c>
      <c r="M115" s="419" t="s">
        <v>51</v>
      </c>
      <c r="N115" s="405"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115" s="368">
        <v>35</v>
      </c>
      <c r="P115" s="364" t="s">
        <v>27</v>
      </c>
      <c r="Q115" s="462">
        <v>9</v>
      </c>
      <c r="R115" s="388">
        <v>43623</v>
      </c>
      <c r="S115" s="419" t="s">
        <v>38</v>
      </c>
      <c r="T115" s="371">
        <v>42917</v>
      </c>
      <c r="U115" s="372"/>
    </row>
    <row r="116" spans="1:21" ht="13" hidden="1">
      <c r="A116" s="373" t="str">
        <f>HYPERLINK("https://phillipreeve.net/blog/voigtlander-40mm-f1-2-nokton-aspherical-rolling-review/","Voigtlander 40mm F1.2 Nokton")</f>
        <v>Voigtlander 40mm F1.2 Nokton</v>
      </c>
      <c r="B116" s="359">
        <v>420</v>
      </c>
      <c r="C116" s="494">
        <v>40</v>
      </c>
      <c r="D116" s="478">
        <v>1.2</v>
      </c>
      <c r="E116" s="434">
        <v>70</v>
      </c>
      <c r="F116" s="495">
        <v>59</v>
      </c>
      <c r="G116" s="485" t="s">
        <v>25</v>
      </c>
      <c r="H116" s="462" t="s">
        <v>71</v>
      </c>
      <c r="I116" s="462">
        <v>0.16</v>
      </c>
      <c r="J116" s="366">
        <v>1099</v>
      </c>
      <c r="K116" s="405" t="str">
        <f t="shared" si="4"/>
        <v>link*</v>
      </c>
      <c r="L116" s="405" t="str">
        <f>HYPERLINK("https://www.bhphotovideo.com/c/product/1362557-REG/voigtlander_nokton_40mm_f_1_2_aspherical.html/BI/19619/KBID/12129/DFF/d10-v21-t1-x851241/SID/EZ","link*")</f>
        <v>link*</v>
      </c>
      <c r="M116" s="419" t="s">
        <v>51</v>
      </c>
      <c r="N116" s="405"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c r="O116" s="368">
        <v>35</v>
      </c>
      <c r="P116" s="364" t="s">
        <v>27</v>
      </c>
      <c r="Q116" s="462">
        <v>10</v>
      </c>
      <c r="R116" s="388">
        <v>43624</v>
      </c>
      <c r="S116" s="419" t="s">
        <v>29</v>
      </c>
      <c r="T116" s="371">
        <v>43040</v>
      </c>
      <c r="U116" s="372"/>
    </row>
    <row r="117" spans="1:21" ht="13" hidden="1">
      <c r="A117" s="496" t="str">
        <f>HYPERLINK("https://phillipreeve.net/blog/review-sigma-40mm-1-4-art/","Sigma Art 1.4/40")</f>
        <v>Sigma Art 1.4/40</v>
      </c>
      <c r="B117" s="383">
        <v>1200</v>
      </c>
      <c r="C117" s="494">
        <v>40</v>
      </c>
      <c r="D117" s="421">
        <v>1.4</v>
      </c>
      <c r="E117" s="446">
        <v>88</v>
      </c>
      <c r="F117" s="474">
        <v>157</v>
      </c>
      <c r="G117" s="419" t="s">
        <v>36</v>
      </c>
      <c r="H117" s="497" t="s">
        <v>68</v>
      </c>
      <c r="I117" s="462">
        <v>0.15</v>
      </c>
      <c r="J117" s="366">
        <v>1399</v>
      </c>
      <c r="K117" s="405" t="str">
        <f>HYPERLINK("https://amzn.to/2SYXFXq","link*")</f>
        <v>link*</v>
      </c>
      <c r="L117" s="405" t="str">
        <f>HYPERLINK("https://www.bhphotovideo.com/c/product/1436292-REG/sigma_40mm_f_1_4_dg_hsm.html/BI/19619/KBID/12129/DFF/d10-v21-t1-x925196/SID/EZ","link*")</f>
        <v>link*</v>
      </c>
      <c r="M117" s="419" t="s">
        <v>51</v>
      </c>
      <c r="N117" s="405"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O117" s="368">
        <v>40</v>
      </c>
      <c r="P117" s="364" t="s">
        <v>27</v>
      </c>
      <c r="Q117" s="462">
        <v>9</v>
      </c>
      <c r="R117" s="388">
        <v>43815</v>
      </c>
      <c r="S117" s="419" t="s">
        <v>47</v>
      </c>
      <c r="T117" s="371">
        <v>43435</v>
      </c>
      <c r="U117" s="372" t="s">
        <v>48</v>
      </c>
    </row>
    <row r="118" spans="1:21" ht="13" hidden="1">
      <c r="A118" s="496" t="str">
        <f>HYPERLINK("https://phillipreeve.net/blog/review-zeiss-batis-2-40-cf/","Zeiss Batis 2/40 CF T*")</f>
        <v>Zeiss Batis 2/40 CF T*</v>
      </c>
      <c r="B118" s="374">
        <v>361</v>
      </c>
      <c r="C118" s="494">
        <v>40</v>
      </c>
      <c r="D118" s="428">
        <v>2</v>
      </c>
      <c r="E118" s="498">
        <v>91</v>
      </c>
      <c r="F118" s="499">
        <v>93</v>
      </c>
      <c r="G118" s="419" t="s">
        <v>36</v>
      </c>
      <c r="H118" s="462" t="s">
        <v>73</v>
      </c>
      <c r="I118" s="468">
        <v>0.3</v>
      </c>
      <c r="J118" s="366">
        <v>1299</v>
      </c>
      <c r="K118" s="405" t="str">
        <f>HYPERLINK("https://amzn.to/2LUN0MF","link*")</f>
        <v>link*</v>
      </c>
      <c r="L118" s="405" t="str">
        <f>HYPERLINK("https://www.bhphotovideo.com/c/product/1436738-REG/zeiss_000000_2239_137_batis_40mm_f_2_cf.html/BI/19619/KBID/12129/DFF/d10-v21-t1-x915694/SID/EZ","link*")</f>
        <v>link*</v>
      </c>
      <c r="M118" s="419" t="s">
        <v>51</v>
      </c>
      <c r="N118" s="405"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118" s="368">
        <v>24</v>
      </c>
      <c r="P118" s="364" t="s">
        <v>27</v>
      </c>
      <c r="Q118" s="462">
        <v>9</v>
      </c>
      <c r="R118" s="388">
        <v>43686</v>
      </c>
      <c r="S118" s="419" t="s">
        <v>87</v>
      </c>
      <c r="T118" s="371">
        <v>43435</v>
      </c>
      <c r="U118" s="357" t="s">
        <v>159</v>
      </c>
    </row>
    <row r="119" spans="1:21" ht="13" hidden="1">
      <c r="A119" s="500" t="s">
        <v>160</v>
      </c>
      <c r="B119" s="416">
        <v>162</v>
      </c>
      <c r="C119" s="501">
        <v>45</v>
      </c>
      <c r="D119" s="385">
        <v>1.8</v>
      </c>
      <c r="E119" s="435">
        <v>62</v>
      </c>
      <c r="F119" s="502">
        <v>56</v>
      </c>
      <c r="G119" s="419" t="s">
        <v>36</v>
      </c>
      <c r="H119" s="462" t="s">
        <v>124</v>
      </c>
      <c r="I119" s="462">
        <v>0.12</v>
      </c>
      <c r="J119" s="431">
        <v>399</v>
      </c>
      <c r="K119" s="405" t="str">
        <f>HYPERLINK("https://amzn.to/2YC6MST","link*")</f>
        <v>link*</v>
      </c>
      <c r="L119" s="405" t="str">
        <f>HYPERLINK("https://www.bhphotovideo.com/c/product/1478738-REG/samyang_af_45mm_f_1_8_fe.html/BI/19619/KBID/12129/DFF/d10-v21-t1-x964329/SID/EZ","link*")</f>
        <v>link*</v>
      </c>
      <c r="M119" s="419" t="s">
        <v>51</v>
      </c>
      <c r="N119" s="405"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119" s="368">
        <v>45</v>
      </c>
      <c r="P119" s="364" t="s">
        <v>27</v>
      </c>
      <c r="Q119" s="462">
        <v>9</v>
      </c>
      <c r="R119" s="388">
        <v>43623</v>
      </c>
      <c r="S119" s="419" t="s">
        <v>38</v>
      </c>
      <c r="T119" s="371">
        <v>43647</v>
      </c>
      <c r="U119" s="372"/>
    </row>
    <row r="120" spans="1:21" ht="13" hidden="1">
      <c r="A120" s="500" t="s">
        <v>161</v>
      </c>
      <c r="B120" s="374">
        <v>215</v>
      </c>
      <c r="C120" s="501">
        <v>45</v>
      </c>
      <c r="D120" s="391">
        <v>2.8</v>
      </c>
      <c r="E120" s="435">
        <v>64</v>
      </c>
      <c r="F120" s="503">
        <v>46</v>
      </c>
      <c r="G120" s="419" t="s">
        <v>36</v>
      </c>
      <c r="H120" s="462" t="s">
        <v>147</v>
      </c>
      <c r="I120" s="468">
        <v>0.25</v>
      </c>
      <c r="J120" s="366">
        <v>549</v>
      </c>
      <c r="K120" s="405" t="str">
        <f>HYPERLINK("https://amzn.to/2SYEvAX","link*")</f>
        <v>link*</v>
      </c>
      <c r="L120" s="405" t="str">
        <f>HYPERLINK("https://www.bhphotovideo.com/c/product/1492966-REG/sigma_360965_45mm_f_2_8_dg_dn.html/BI/19619/KBID/12129/DFF/d10-v21-t1-x976020/SID/EZ","link*")</f>
        <v>link*</v>
      </c>
      <c r="M120" s="419" t="s">
        <v>51</v>
      </c>
      <c r="N120" s="405"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O120" s="368">
        <v>24</v>
      </c>
      <c r="P120" s="364" t="s">
        <v>27</v>
      </c>
      <c r="Q120" s="462">
        <v>7</v>
      </c>
      <c r="R120" s="388">
        <v>43654</v>
      </c>
      <c r="S120" s="419" t="s">
        <v>47</v>
      </c>
      <c r="T120" s="371">
        <v>43647</v>
      </c>
      <c r="U120" s="357" t="s">
        <v>162</v>
      </c>
    </row>
    <row r="121" spans="1:21" ht="13" hidden="1">
      <c r="A121" s="504" t="str">
        <f>HYPERLINK("https://phillipreeve.net/blog/review-voigtlander-50mm-1-2-nokton-e/","Voigtlander 50mm F1.2 Nokton")</f>
        <v>Voigtlander 50mm F1.2 Nokton</v>
      </c>
      <c r="B121" s="359">
        <v>440</v>
      </c>
      <c r="C121" s="505">
        <v>50</v>
      </c>
      <c r="D121" s="478">
        <v>1.2</v>
      </c>
      <c r="E121" s="434">
        <v>70</v>
      </c>
      <c r="F121" s="506">
        <v>58</v>
      </c>
      <c r="G121" s="485" t="s">
        <v>25</v>
      </c>
      <c r="H121" s="462" t="s">
        <v>71</v>
      </c>
      <c r="I121" s="419"/>
      <c r="J121" s="366">
        <v>1099</v>
      </c>
      <c r="K121" s="405" t="str">
        <f>HYPERLINK("https://amzn.to/2OAfE7N","link*")</f>
        <v>link*</v>
      </c>
      <c r="L121" s="405" t="str">
        <f>HYPERLINK("https://www.bhphotovideo.com/c/product/1433349-REG/voigtlander_ba348a_nokton_50mm_f_1_2_aspherical.html/BI/19619/KBID/12129/DFF/d10-v21-t1-x915623/SID/EZ","link*")</f>
        <v>link*</v>
      </c>
      <c r="M121" s="419" t="s">
        <v>51</v>
      </c>
      <c r="N121" s="405" t="e">
        <f>HYPERLINK("http://rover.ebay.com/rover/1/711-53200-19255-0/1?icep_ff3=9&amp;pub=5575076376&amp;toolid=10001&amp;campid=5338164340&amp;customid=&amp;icep_uq=sony+50+1.2&amp;icep_sellerId=&amp;icep_ex_kw=&amp;icep_sortBy=12&amp;icep_catId=3323&amp;icep_minPrice=&amp;icep_maxPrice=&amp;ipn=psmain&amp;icep_vectorid=22946"&amp;"6&amp;kwid=902099&amp;mtid=824&amp;kw=lg","link*")</f>
        <v>#VALUE!</v>
      </c>
      <c r="O121" s="368">
        <v>45</v>
      </c>
      <c r="P121" s="364" t="s">
        <v>27</v>
      </c>
      <c r="Q121" s="462">
        <v>12</v>
      </c>
      <c r="R121" s="388">
        <v>43624</v>
      </c>
      <c r="S121" s="419" t="s">
        <v>29</v>
      </c>
      <c r="T121" s="371">
        <v>43556</v>
      </c>
      <c r="U121" s="372"/>
    </row>
    <row r="122" spans="1:21" ht="13" hidden="1">
      <c r="A122" s="358" t="s">
        <v>163</v>
      </c>
      <c r="B122" s="390">
        <v>778</v>
      </c>
      <c r="C122" s="505">
        <v>50</v>
      </c>
      <c r="D122" s="421">
        <v>1.4</v>
      </c>
      <c r="E122" s="507">
        <v>84</v>
      </c>
      <c r="F122" s="508">
        <v>108</v>
      </c>
      <c r="G122" s="419" t="s">
        <v>36</v>
      </c>
      <c r="H122" s="462" t="s">
        <v>64</v>
      </c>
      <c r="I122" s="462">
        <v>0.15</v>
      </c>
      <c r="J122" s="366">
        <v>1499</v>
      </c>
      <c r="K122" s="405" t="str">
        <f>HYPERLINK("https://amzn.to/2K88EL7","link*")</f>
        <v>link*</v>
      </c>
      <c r="L122" s="419" t="s">
        <v>51</v>
      </c>
      <c r="M122" s="419" t="s">
        <v>51</v>
      </c>
      <c r="N122" s="405"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122" s="368">
        <v>45</v>
      </c>
      <c r="P122" s="364" t="s">
        <v>27</v>
      </c>
      <c r="Q122" s="462">
        <v>11</v>
      </c>
      <c r="R122" s="388">
        <v>43720</v>
      </c>
      <c r="S122" s="419" t="s">
        <v>41</v>
      </c>
      <c r="T122" s="371">
        <v>42583</v>
      </c>
      <c r="U122" s="372"/>
    </row>
    <row r="123" spans="1:21" ht="13" hidden="1">
      <c r="A123" s="472" t="s">
        <v>164</v>
      </c>
      <c r="B123" s="390">
        <v>815</v>
      </c>
      <c r="C123" s="505">
        <v>50</v>
      </c>
      <c r="D123" s="421">
        <v>1.4</v>
      </c>
      <c r="E123" s="442">
        <v>85</v>
      </c>
      <c r="F123" s="509">
        <v>100</v>
      </c>
      <c r="G123" s="419" t="s">
        <v>36</v>
      </c>
      <c r="H123" s="462" t="s">
        <v>80</v>
      </c>
      <c r="I123" s="462">
        <v>0.18</v>
      </c>
      <c r="J123" s="366">
        <v>949</v>
      </c>
      <c r="K123" s="405" t="str">
        <f>HYPERLINK("https://amzn.to/2K4JmyT","link*")</f>
        <v>link*</v>
      </c>
      <c r="L123" s="405" t="str">
        <f>HYPERLINK("https://www.bhphotovideo.com/c/product/1393493-REG/sigma_50mm_f_1_4_dg_hsm.html/BI/19619/KBID/12129/kw/SI5014SO/DFF/d10-v2-t1-xSI5014SO","link*")</f>
        <v>link*</v>
      </c>
      <c r="M123" s="405" t="str">
        <f>HYPERLINK("https://amzn.to/2Wpdoz5","link*")</f>
        <v>link*</v>
      </c>
      <c r="N123" s="405" t="e">
        <f>HYPERLINK("http://rover.ebay.com/rover/1/711-53200-19255-0/1?icep_ff3=9&amp;pub=5575076376&amp;toolid=10001&amp;campid=5338164340&amp;customid=&amp;icep_uq=sony+50+1.4+za+-ssm&amp;icep_sellerId=&amp;icep_ex_kw=&amp;icep_sortBy=12&amp;icep_catId=3323&amp;icep_minPrice=&amp;icep_maxPrice=&amp;ipn=psmain&amp;icep_vector"&amp;"id=229466&amp;kwid=902099&amp;mtid=824&amp;kw=lg","link*")</f>
        <v>#VALUE!</v>
      </c>
      <c r="O123" s="368">
        <v>40</v>
      </c>
      <c r="P123" s="364" t="s">
        <v>27</v>
      </c>
      <c r="Q123" s="462">
        <v>9</v>
      </c>
      <c r="R123" s="388">
        <v>43690</v>
      </c>
      <c r="S123" s="419" t="s">
        <v>47</v>
      </c>
      <c r="T123" s="371">
        <v>43221</v>
      </c>
      <c r="U123" s="372" t="s">
        <v>48</v>
      </c>
    </row>
    <row r="124" spans="1:21" ht="13" hidden="1">
      <c r="A124" s="358" t="s">
        <v>165</v>
      </c>
      <c r="B124" s="359">
        <v>585</v>
      </c>
      <c r="C124" s="505">
        <v>50</v>
      </c>
      <c r="D124" s="421">
        <v>1.4</v>
      </c>
      <c r="E124" s="510">
        <v>74</v>
      </c>
      <c r="F124" s="395">
        <v>98</v>
      </c>
      <c r="G124" s="419" t="s">
        <v>36</v>
      </c>
      <c r="H124" s="462" t="s">
        <v>73</v>
      </c>
      <c r="I124" s="462">
        <v>0.15</v>
      </c>
      <c r="J124" s="366">
        <v>699</v>
      </c>
      <c r="K124" s="405" t="str">
        <f>HYPERLINK("https://amzn.to/2SY1Pyr","link*")</f>
        <v>link*</v>
      </c>
      <c r="L124" s="405" t="str">
        <f>HYPERLINK("https://www.bhphotovideo.com/c/product/1352862-REG/samyang_syio50af_e_50mm_f_1_4_auto_focus.html/BI/19619/KBID/12129/DFF/d10-v21-t1-x837927/SID/EZ","link*")</f>
        <v>link*</v>
      </c>
      <c r="M124" s="419" t="s">
        <v>51</v>
      </c>
      <c r="N124" s="405"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124" s="368">
        <v>45</v>
      </c>
      <c r="P124" s="364" t="s">
        <v>27</v>
      </c>
      <c r="Q124" s="462">
        <v>9</v>
      </c>
      <c r="R124" s="388">
        <v>43686</v>
      </c>
      <c r="S124" s="419" t="s">
        <v>38</v>
      </c>
      <c r="T124" s="371">
        <v>42583</v>
      </c>
      <c r="U124" s="372"/>
    </row>
    <row r="125" spans="1:21" ht="13" hidden="1">
      <c r="A125" s="496" t="str">
        <f>HYPERLINK("https://phillipreeve.net/blog/review-sony-fe-1-850/","Sony 50mm F1.8")</f>
        <v>Sony 50mm F1.8</v>
      </c>
      <c r="B125" s="416">
        <v>186</v>
      </c>
      <c r="C125" s="505">
        <v>50</v>
      </c>
      <c r="D125" s="385">
        <v>1.8</v>
      </c>
      <c r="E125" s="429">
        <v>69</v>
      </c>
      <c r="F125" s="466">
        <v>60</v>
      </c>
      <c r="G125" s="419" t="s">
        <v>36</v>
      </c>
      <c r="H125" s="462" t="s">
        <v>124</v>
      </c>
      <c r="I125" s="462">
        <v>0.14000000000000001</v>
      </c>
      <c r="J125" s="410">
        <v>249</v>
      </c>
      <c r="K125" s="405" t="str">
        <f>HYPERLINK("http://amzn.to/2v2F5Se","link*")</f>
        <v>link*</v>
      </c>
      <c r="L125" s="405" t="str">
        <f>HYPERLINK("https://www.bhphotovideo.com/c/product/1242613-REG/sony_sel50f18f_fe_50mm_f_1_8_lens.html/BI/19619/KBID/12129/kw/SO5018F/DFF/d10-v2-t1-xSO5018F","link*")</f>
        <v>link*</v>
      </c>
      <c r="M125" s="405" t="str">
        <f>HYPERLINK("http://amzn.to/2wyHB25","link*")</f>
        <v>link*</v>
      </c>
      <c r="N125" s="405"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125" s="368">
        <v>45</v>
      </c>
      <c r="P125" s="364" t="s">
        <v>27</v>
      </c>
      <c r="Q125" s="462">
        <v>7</v>
      </c>
      <c r="R125" s="388">
        <v>43591</v>
      </c>
      <c r="S125" s="419" t="s">
        <v>41</v>
      </c>
      <c r="T125" s="371">
        <v>42430</v>
      </c>
      <c r="U125" s="372"/>
    </row>
    <row r="126" spans="1:21" ht="13" hidden="1">
      <c r="A126" s="496" t="str">
        <f>HYPERLINK("https://phillipreeve.net/blog/review-zeiss-loxia-planar-250-t/","Zeiss Loxia 50mm F2")</f>
        <v>Zeiss Loxia 50mm F2</v>
      </c>
      <c r="B126" s="374">
        <v>320</v>
      </c>
      <c r="C126" s="505">
        <v>50</v>
      </c>
      <c r="D126" s="428">
        <v>2</v>
      </c>
      <c r="E126" s="435">
        <v>62</v>
      </c>
      <c r="F126" s="466">
        <v>60</v>
      </c>
      <c r="G126" s="485" t="s">
        <v>25</v>
      </c>
      <c r="H126" s="462" t="s">
        <v>131</v>
      </c>
      <c r="I126" s="462">
        <v>0.15</v>
      </c>
      <c r="J126" s="366">
        <v>949</v>
      </c>
      <c r="K126" s="405" t="str">
        <f>HYPERLINK("http://amzn.to/2faVsIu","link*")</f>
        <v>link*</v>
      </c>
      <c r="L126" s="405" t="str">
        <f>HYPERLINK("https://www.bhphotovideo.com/c/product/1080387-REG/zeiss_2103_748_loxia_50mm_f_2_planar.html/BI/19619/KBID/12129/kw/ZE502LFE/DFF/d10-v2-t1-xZE502LFE","link*")</f>
        <v>link*</v>
      </c>
      <c r="M126" s="405" t="str">
        <f>HYPERLINK("http://amzn.to/2wyJAU4","link*")</f>
        <v>link*</v>
      </c>
      <c r="N126" s="405"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O126" s="368">
        <v>45</v>
      </c>
      <c r="P126" s="364" t="s">
        <v>27</v>
      </c>
      <c r="Q126" s="462">
        <v>10</v>
      </c>
      <c r="R126" s="388">
        <v>43561</v>
      </c>
      <c r="S126" s="419" t="s">
        <v>87</v>
      </c>
      <c r="T126" s="371">
        <v>41913</v>
      </c>
      <c r="U126" s="357" t="s">
        <v>166</v>
      </c>
    </row>
    <row r="127" spans="1:21" ht="13">
      <c r="A127" s="496" t="str">
        <f>HYPERLINK("https://phillipreeve.net/blog/rolling-review-sony-fe-2-850-macro/","Sony 50mm F/2.8 Macro")</f>
        <v>Sony 50mm F/2.8 Macro</v>
      </c>
      <c r="B127" s="374">
        <v>236</v>
      </c>
      <c r="C127" s="505">
        <v>50</v>
      </c>
      <c r="D127" s="385">
        <v>1.8</v>
      </c>
      <c r="E127" s="511">
        <v>72</v>
      </c>
      <c r="F127" s="512">
        <v>71</v>
      </c>
      <c r="G127" s="419" t="s">
        <v>36</v>
      </c>
      <c r="H127" s="462" t="s">
        <v>147</v>
      </c>
      <c r="I127" s="513">
        <v>1</v>
      </c>
      <c r="J127" s="431">
        <v>499</v>
      </c>
      <c r="K127" s="405" t="str">
        <f>HYPERLINK("http://amzn.to/2v2g0qz","link*")</f>
        <v>link*</v>
      </c>
      <c r="L127" s="405" t="str">
        <f>HYPERLINK("https://www.bhphotovideo.com/c/product/1277527-REG/sony_sel50m28_fe_50mm_f_2_8_macro.html/BI/19619/KBID/12129/kw/SO5028FF/DFF/d10-v2-t1-xSO5028FF","link*")</f>
        <v>link*</v>
      </c>
      <c r="M127" s="405" t="str">
        <f>HYPERLINK("http://amzn.to/2vbknRN","link*")</f>
        <v>link*</v>
      </c>
      <c r="N127" s="405"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O127" s="368">
        <v>16</v>
      </c>
      <c r="P127" s="364" t="s">
        <v>27</v>
      </c>
      <c r="Q127" s="462">
        <v>7</v>
      </c>
      <c r="R127" s="388">
        <v>43654</v>
      </c>
      <c r="S127" s="419" t="s">
        <v>41</v>
      </c>
      <c r="T127" s="371">
        <v>42614</v>
      </c>
      <c r="U127" s="372"/>
    </row>
    <row r="128" spans="1:21" ht="13" hidden="1">
      <c r="A128" s="496" t="str">
        <f>HYPERLINK("https://phillipreeve.net/blog/sony-fe-1-855-za-sonnar-t-review/","Sony ZA 55mm F1.8 Sonnar")</f>
        <v>Sony ZA 55mm F1.8 Sonnar</v>
      </c>
      <c r="B128" s="374">
        <v>281</v>
      </c>
      <c r="C128" s="514">
        <v>55</v>
      </c>
      <c r="D128" s="385">
        <v>1.8</v>
      </c>
      <c r="E128" s="435">
        <v>64</v>
      </c>
      <c r="F128" s="512">
        <v>71</v>
      </c>
      <c r="G128" s="419" t="s">
        <v>36</v>
      </c>
      <c r="H128" s="462" t="s">
        <v>124</v>
      </c>
      <c r="I128" s="462">
        <v>0.14000000000000001</v>
      </c>
      <c r="J128" s="366">
        <v>999</v>
      </c>
      <c r="K128" s="405" t="str">
        <f>HYPERLINK("https://amzn.to/2ywdgEk","link*")</f>
        <v>link*</v>
      </c>
      <c r="L128" s="405" t="str">
        <f>HYPERLINK("https://www.bhphotovideo.com/c/product/1008124-REG/sony_sel55f18z_sonnar_t_fe_55mm.html/BI/19619/KBID/12129/DFF/d10-v21-t1-x466841/SID/EZ","link*")</f>
        <v>link*</v>
      </c>
      <c r="M128" s="419" t="s">
        <v>51</v>
      </c>
      <c r="N128" s="405"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128" s="368">
        <v>50</v>
      </c>
      <c r="P128" s="364" t="s">
        <v>27</v>
      </c>
      <c r="Q128" s="462">
        <v>9</v>
      </c>
      <c r="R128" s="388">
        <v>43592</v>
      </c>
      <c r="S128" s="419" t="s">
        <v>41</v>
      </c>
      <c r="T128" s="371">
        <v>41548</v>
      </c>
      <c r="U128" s="372"/>
    </row>
    <row r="129" spans="1:21" ht="13">
      <c r="A129" s="496" t="str">
        <f>HYPERLINK("https://phillipreeve.net/blog/voigtlander-65-f2-apo-macro-review/","Voigtlander Macro 65mm F2 Apo Lanthar")</f>
        <v>Voigtlander Macro 65mm F2 Apo Lanthar</v>
      </c>
      <c r="B129" s="359">
        <v>635</v>
      </c>
      <c r="C129" s="515">
        <v>65</v>
      </c>
      <c r="D129" s="428">
        <v>2</v>
      </c>
      <c r="E129" s="516">
        <v>78</v>
      </c>
      <c r="F129" s="517">
        <v>91</v>
      </c>
      <c r="G129" s="485" t="s">
        <v>25</v>
      </c>
      <c r="H129" s="462" t="s">
        <v>73</v>
      </c>
      <c r="I129" s="518">
        <v>0.5</v>
      </c>
      <c r="J129" s="366">
        <v>999</v>
      </c>
      <c r="K129" s="405" t="str">
        <f>HYPERLINK("https://amzn.to/2LU48SI","link*")</f>
        <v>link*</v>
      </c>
      <c r="L129" s="405" t="str">
        <f>HYPERLINK("https://www.bhphotovideo.com/c/product/1350400-REG/voigtlander_macro_apo_lanthar_65mm_f2.html/BI/19619/KBID/12129/DFF/d10-v21-t1-x835677/SID/EZ","link*")</f>
        <v>link*</v>
      </c>
      <c r="M129" s="419" t="s">
        <v>51</v>
      </c>
      <c r="N129" s="405"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O129" s="368">
        <v>31</v>
      </c>
      <c r="P129" s="364" t="s">
        <v>27</v>
      </c>
      <c r="Q129" s="462">
        <v>10</v>
      </c>
      <c r="R129" s="388">
        <v>43687</v>
      </c>
      <c r="S129" s="419" t="s">
        <v>29</v>
      </c>
      <c r="T129" s="519">
        <v>42917</v>
      </c>
      <c r="U129" s="372"/>
    </row>
    <row r="130" spans="1:21" ht="13">
      <c r="A130" s="472" t="s">
        <v>167</v>
      </c>
      <c r="B130" s="359">
        <v>562</v>
      </c>
      <c r="C130" s="520">
        <v>70</v>
      </c>
      <c r="D130" s="391">
        <v>2.8</v>
      </c>
      <c r="E130" s="521">
        <v>71</v>
      </c>
      <c r="F130" s="522">
        <v>106</v>
      </c>
      <c r="G130" s="419" t="s">
        <v>36</v>
      </c>
      <c r="H130" s="462" t="s">
        <v>124</v>
      </c>
      <c r="I130" s="513">
        <v>1</v>
      </c>
      <c r="J130" s="493">
        <v>569</v>
      </c>
      <c r="K130" s="405" t="str">
        <f>HYPERLINK("https://amzn.to/2YGO9te","link*")</f>
        <v>link*</v>
      </c>
      <c r="L130" s="405" t="str">
        <f>HYPERLINK("https://www.bhphotovideo.com/c/product/1393483-REG/sigma_70mm_f_2_8_dg_macro.html/BI/19619/KBID/12129/DFF/d10-v21-t1-x895111/SID/EZ","link*")</f>
        <v>link*</v>
      </c>
      <c r="M130" s="419" t="s">
        <v>51</v>
      </c>
      <c r="N130" s="405" t="e">
        <f>HYPERLINK("http://rover.ebay.com/rover/1/711-53200-19255-0/1?icep_ff3=9&amp;pub=5575076376&amp;toolid=10001&amp;campid=5338164340&amp;customid=&amp;icep_uq=sigma+70+2.8+macro+sony&amp;icep_sellerId=&amp;icep_ex_kw=&amp;icep_sortBy=12&amp;icep_catId=3323&amp;icep_minPrice=&amp;icep_maxPrice=&amp;ipn=psmain&amp;icep_ve"&amp;"ctorid=229466&amp;kwid=902099&amp;mtid=824&amp;kw=lg","link*")</f>
        <v>#VALUE!</v>
      </c>
      <c r="O130" s="368">
        <v>26</v>
      </c>
      <c r="P130" s="364" t="s">
        <v>27</v>
      </c>
      <c r="Q130" s="462">
        <v>9</v>
      </c>
      <c r="R130" s="388">
        <v>43751</v>
      </c>
      <c r="S130" s="419" t="s">
        <v>47</v>
      </c>
      <c r="T130" s="371">
        <v>43221</v>
      </c>
      <c r="U130" s="372" t="s">
        <v>48</v>
      </c>
    </row>
    <row r="131" spans="1:21" ht="13" hidden="1">
      <c r="A131" s="472" t="s">
        <v>168</v>
      </c>
      <c r="B131" s="383">
        <v>1480</v>
      </c>
      <c r="C131" s="520">
        <v>70</v>
      </c>
      <c r="D131" s="391">
        <v>2.8</v>
      </c>
      <c r="E131" s="446">
        <v>88</v>
      </c>
      <c r="F131" s="474">
        <v>200</v>
      </c>
      <c r="G131" s="419" t="s">
        <v>36</v>
      </c>
      <c r="H131" s="462" t="s">
        <v>80</v>
      </c>
      <c r="I131" s="468">
        <v>0.25</v>
      </c>
      <c r="J131" s="366">
        <v>2599</v>
      </c>
      <c r="K131" s="405" t="str">
        <f>HYPERLINK("https://amzn.to/2KbaJGn","link*")</f>
        <v>link*</v>
      </c>
      <c r="L131" s="405" t="str">
        <f>HYPERLINK("https://www.bhphotovideo.com/c/product/1222776-REG/sony_sel70200gm_fe_70_200mm_f_2_8_gm.html/BI/19619/KBID/12129/DFF/d10-v21-t1-x746807/SID/EZ","link*")</f>
        <v>link*</v>
      </c>
      <c r="M131" s="419" t="s">
        <v>51</v>
      </c>
      <c r="N131" s="405"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131" s="368">
        <v>96</v>
      </c>
      <c r="P131" s="471" t="s">
        <v>66</v>
      </c>
      <c r="Q131" s="462">
        <v>11</v>
      </c>
      <c r="R131" s="523" t="s">
        <v>169</v>
      </c>
      <c r="S131" s="419" t="s">
        <v>41</v>
      </c>
      <c r="T131" s="371">
        <v>42401</v>
      </c>
      <c r="U131" s="372"/>
    </row>
    <row r="132" spans="1:21" ht="13" hidden="1">
      <c r="A132" s="358" t="s">
        <v>170</v>
      </c>
      <c r="B132" s="390">
        <v>854</v>
      </c>
      <c r="C132" s="520">
        <v>70</v>
      </c>
      <c r="D132" s="449" t="s">
        <v>171</v>
      </c>
      <c r="E132" s="507">
        <v>84</v>
      </c>
      <c r="F132" s="524">
        <v>144</v>
      </c>
      <c r="G132" s="419" t="s">
        <v>36</v>
      </c>
      <c r="H132" s="462" t="s">
        <v>64</v>
      </c>
      <c r="I132" s="468">
        <v>0.31</v>
      </c>
      <c r="J132" s="366">
        <v>1198</v>
      </c>
      <c r="K132" s="405" t="str">
        <f>HYPERLINK("https://amzn.to/2SVN1Ao","link*")</f>
        <v>link*</v>
      </c>
      <c r="L132" s="405" t="str">
        <f>HYPERLINK("https://www.bhphotovideo.com/c/product/1242614-REG/sony_sel70300g_fe_70_300mm_f_4_5_5_6_g.html/BI/19619/KBID/12129/DFF/d10-v21-t1-x722726/SID/EZ","link*")</f>
        <v>link*</v>
      </c>
      <c r="M132" s="419" t="s">
        <v>51</v>
      </c>
      <c r="N132" s="405"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132" s="368">
        <v>90</v>
      </c>
      <c r="P132" s="471" t="s">
        <v>66</v>
      </c>
      <c r="Q132" s="462">
        <v>9</v>
      </c>
      <c r="R132" s="523" t="s">
        <v>72</v>
      </c>
      <c r="S132" s="419" t="s">
        <v>41</v>
      </c>
      <c r="T132" s="371">
        <v>42430</v>
      </c>
      <c r="U132" s="372"/>
    </row>
    <row r="133" spans="1:21" ht="13" hidden="1">
      <c r="A133" s="373" t="str">
        <f>HYPERLINK("https://phillipreeve.net/blog/review-sony-fe-470-200-g-oss/https://phillipreeve.net/blog/review-sony-fe-470-200-g-oss/","Sony G 4/70-200 OSS")</f>
        <v>Sony G 4/70-200 OSS</v>
      </c>
      <c r="B133" s="390">
        <v>840</v>
      </c>
      <c r="C133" s="520">
        <v>70</v>
      </c>
      <c r="D133" s="361">
        <v>4</v>
      </c>
      <c r="E133" s="450">
        <v>80</v>
      </c>
      <c r="F133" s="474">
        <v>175</v>
      </c>
      <c r="G133" s="419" t="s">
        <v>36</v>
      </c>
      <c r="H133" s="462" t="s">
        <v>64</v>
      </c>
      <c r="I133" s="462">
        <v>0.18</v>
      </c>
      <c r="J133" s="366">
        <v>1498</v>
      </c>
      <c r="K133" s="405" t="str">
        <f>HYPERLINK("http://amzn.to/2fbeX3x","link*")</f>
        <v>link*</v>
      </c>
      <c r="L133" s="405" t="str">
        <f>HYPERLINK("https://www.bhphotovideo.com/c/product/1380865-REG/sony_fe_70_200mm_f_4_g.html/BI/19619/KBID/12129/kw/SO702004F/DFF/d10-v2-t1-xSO702004F","link*")</f>
        <v>link*</v>
      </c>
      <c r="M133" s="405" t="str">
        <f>HYPERLINK("http://amzn.to/2vbFQKj","link*")</f>
        <v>link*</v>
      </c>
      <c r="N133" s="405"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133" s="368">
        <v>100</v>
      </c>
      <c r="P133" s="471" t="s">
        <v>66</v>
      </c>
      <c r="Q133" s="462">
        <v>9</v>
      </c>
      <c r="R133" s="523" t="s">
        <v>173</v>
      </c>
      <c r="S133" s="419" t="s">
        <v>41</v>
      </c>
      <c r="T133" s="371">
        <v>41548</v>
      </c>
      <c r="U133" s="372"/>
    </row>
    <row r="134" spans="1:21" ht="13" hidden="1">
      <c r="A134" s="373" t="str">
        <f>HYPERLINK("https://phillipreeve.net/blog/review-sony-fe-85mm-1-4-gm/","Sony GM 1.4/85")</f>
        <v>Sony GM 1.4/85</v>
      </c>
      <c r="B134" s="390">
        <v>854</v>
      </c>
      <c r="C134" s="525">
        <v>85</v>
      </c>
      <c r="D134" s="421">
        <v>1.4</v>
      </c>
      <c r="E134" s="507">
        <v>84</v>
      </c>
      <c r="F134" s="508">
        <v>108</v>
      </c>
      <c r="G134" s="419" t="s">
        <v>36</v>
      </c>
      <c r="H134" s="462" t="s">
        <v>80</v>
      </c>
      <c r="I134" s="462">
        <v>0.12</v>
      </c>
      <c r="J134" s="366">
        <v>1799</v>
      </c>
      <c r="K134" s="405" t="str">
        <f>HYPERLINK("https://amzn.to/2SZeKAh","link*")</f>
        <v>link*</v>
      </c>
      <c r="L134" s="405" t="str">
        <f>HYPERLINK("https://www.bhphotovideo.com/c/product/1222775-REG/sony_sel85f14gm_fe_85mm_f_1_4_gm.html/BI/19619/KBID/12129/DFF/d10-v21-t1-x707644/SID/EZ","link*")</f>
        <v>link*</v>
      </c>
      <c r="M134" s="419" t="s">
        <v>51</v>
      </c>
      <c r="N134" s="405"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134" s="368">
        <v>80</v>
      </c>
      <c r="P134" s="364" t="s">
        <v>27</v>
      </c>
      <c r="Q134" s="462">
        <v>11</v>
      </c>
      <c r="R134" s="388">
        <v>43688</v>
      </c>
      <c r="S134" s="419" t="s">
        <v>41</v>
      </c>
      <c r="T134" s="371">
        <v>42401</v>
      </c>
      <c r="U134" s="372"/>
    </row>
    <row r="135" spans="1:21" ht="13" hidden="1">
      <c r="A135" s="358" t="s">
        <v>174</v>
      </c>
      <c r="B135" s="383">
        <v>1130</v>
      </c>
      <c r="C135" s="525">
        <v>85</v>
      </c>
      <c r="D135" s="421">
        <v>1.4</v>
      </c>
      <c r="E135" s="527">
        <v>95</v>
      </c>
      <c r="F135" s="474">
        <v>152</v>
      </c>
      <c r="G135" s="419" t="s">
        <v>36</v>
      </c>
      <c r="H135" s="528" t="s">
        <v>175</v>
      </c>
      <c r="I135" s="462">
        <v>0.12</v>
      </c>
      <c r="J135" s="366">
        <v>1199</v>
      </c>
      <c r="K135" s="405" t="str">
        <f>HYPERLINK("https://amzn.to/2MBd68k","link*")</f>
        <v>link*</v>
      </c>
      <c r="L135" s="405" t="str">
        <f>HYPERLINK("https://www.bhphotovideo.com/c/product/1393494-REG/sigma_85mm_f_1_4_dg_hsm.html/BI/19619/KBID/12129/kw/SI8514SO/DFF/d10-v2-t1-xSI8514SO","link*")</f>
        <v>link*</v>
      </c>
      <c r="M135" s="405" t="str">
        <f>HYPERLINK("https://amzn.to/2Wto6JH","link*")</f>
        <v>link*</v>
      </c>
      <c r="N135" s="405"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O135" s="368">
        <v>85</v>
      </c>
      <c r="P135" s="364" t="s">
        <v>27</v>
      </c>
      <c r="Q135" s="462">
        <v>9</v>
      </c>
      <c r="R135" s="388">
        <v>43724</v>
      </c>
      <c r="S135" s="419" t="s">
        <v>47</v>
      </c>
      <c r="T135" s="371">
        <v>43221</v>
      </c>
      <c r="U135" s="372" t="s">
        <v>48</v>
      </c>
    </row>
    <row r="136" spans="1:21" ht="13" hidden="1">
      <c r="A136" s="424" t="s">
        <v>176</v>
      </c>
      <c r="B136" s="359">
        <v>568</v>
      </c>
      <c r="C136" s="525">
        <v>85</v>
      </c>
      <c r="D136" s="421">
        <v>1.4</v>
      </c>
      <c r="E136" s="446">
        <v>88</v>
      </c>
      <c r="F136" s="509">
        <v>100</v>
      </c>
      <c r="G136" s="419" t="s">
        <v>36</v>
      </c>
      <c r="H136" s="462" t="s">
        <v>80</v>
      </c>
      <c r="I136" s="462">
        <v>0.11</v>
      </c>
      <c r="J136" s="410">
        <v>699</v>
      </c>
      <c r="K136" s="405" t="str">
        <f>HYPERLINK("https://amzn.to/2T0yJ1A","link*")</f>
        <v>link*</v>
      </c>
      <c r="L136" s="405" t="str">
        <f>HYPERLINK("https://www.bhphotovideo.com/c/product/1470654-REG/samyang_syio85af_e_af_85mm_f_1_4_lens.html/BI/19619/KBID/12129/DFF/d10-v21-t1-x955078/SID/EZ","link*")</f>
        <v>link*</v>
      </c>
      <c r="M136" s="419" t="s">
        <v>51</v>
      </c>
      <c r="N136" s="405"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136" s="368">
        <v>90</v>
      </c>
      <c r="P136" s="364" t="s">
        <v>27</v>
      </c>
      <c r="Q136" s="462">
        <v>9</v>
      </c>
      <c r="R136" s="388">
        <v>43688</v>
      </c>
      <c r="S136" s="419" t="s">
        <v>38</v>
      </c>
      <c r="T136" s="371">
        <v>43586</v>
      </c>
      <c r="U136" s="372"/>
    </row>
    <row r="137" spans="1:21" ht="13" hidden="1">
      <c r="A137" s="373" t="str">
        <f>HYPERLINK("https://phillipreeve.net/blog/review-sony-fe-85-mm-1-8/","Sony FE 85mm f/1.8")</f>
        <v>Sony FE 85mm f/1.8</v>
      </c>
      <c r="B137" s="374">
        <v>371</v>
      </c>
      <c r="C137" s="525">
        <v>85</v>
      </c>
      <c r="D137" s="385">
        <v>1.8</v>
      </c>
      <c r="E137" s="486">
        <v>77</v>
      </c>
      <c r="F137" s="430">
        <v>82</v>
      </c>
      <c r="G137" s="419" t="s">
        <v>36</v>
      </c>
      <c r="H137" s="462" t="s">
        <v>73</v>
      </c>
      <c r="I137" s="462">
        <v>0.13</v>
      </c>
      <c r="J137" s="410">
        <v>599</v>
      </c>
      <c r="K137" s="405" t="str">
        <f>HYPERLINK("https://amzn.to/2YB4RxU","link*")</f>
        <v>link*</v>
      </c>
      <c r="L137" s="405" t="str">
        <f t="shared" ref="L137:L138" si="5">HYPERLINK("https://www.bhphotovideo.com/c/product/1140833-REG/zeiss_2103_751_85mm_f_1_8_batis_short.html/BI/19619/KBID/12129/DFF/d10-v21-t1-x627139/SID/EZ","link*")</f>
        <v>link*</v>
      </c>
      <c r="M137" s="419" t="s">
        <v>51</v>
      </c>
      <c r="N137" s="405"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137" s="368">
        <v>80</v>
      </c>
      <c r="P137" s="364" t="s">
        <v>27</v>
      </c>
      <c r="Q137" s="462">
        <v>9</v>
      </c>
      <c r="R137" s="388">
        <v>43686</v>
      </c>
      <c r="S137" s="419" t="s">
        <v>41</v>
      </c>
      <c r="T137" s="371">
        <v>42767</v>
      </c>
      <c r="U137" s="372"/>
    </row>
    <row r="138" spans="1:21" ht="13" hidden="1">
      <c r="A138" s="496" t="str">
        <f>HYPERLINK("https://phillipreeve.net/blog/zeiss-batis-sonnar-t-85mm-f1-8-a-review/","Zeiss Batis 1.8/85")</f>
        <v>Zeiss Batis 1.8/85</v>
      </c>
      <c r="B138" s="359">
        <v>475</v>
      </c>
      <c r="C138" s="525">
        <v>85</v>
      </c>
      <c r="D138" s="385">
        <v>1.8</v>
      </c>
      <c r="E138" s="458">
        <v>92</v>
      </c>
      <c r="F138" s="529">
        <v>81</v>
      </c>
      <c r="G138" s="419" t="s">
        <v>36</v>
      </c>
      <c r="H138" s="462" t="s">
        <v>73</v>
      </c>
      <c r="I138" s="462">
        <v>0.13</v>
      </c>
      <c r="J138" s="366">
        <v>1199</v>
      </c>
      <c r="K138" s="405" t="str">
        <f>HYPERLINK("https://amzn.to/2T8oWqt","link*")</f>
        <v>link*</v>
      </c>
      <c r="L138" s="405" t="str">
        <f t="shared" si="5"/>
        <v>link*</v>
      </c>
      <c r="M138" s="419" t="s">
        <v>51</v>
      </c>
      <c r="N138" s="405"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138" s="368">
        <v>80</v>
      </c>
      <c r="P138" s="471" t="s">
        <v>66</v>
      </c>
      <c r="Q138" s="462">
        <v>9</v>
      </c>
      <c r="R138" s="388">
        <v>43688</v>
      </c>
      <c r="S138" s="419" t="s">
        <v>87</v>
      </c>
      <c r="T138" s="371">
        <v>42125</v>
      </c>
      <c r="U138" s="372"/>
    </row>
    <row r="139" spans="1:21" ht="13" hidden="1">
      <c r="A139" s="424" t="s">
        <v>197</v>
      </c>
      <c r="B139" s="390">
        <v>665</v>
      </c>
      <c r="C139" s="525">
        <v>85</v>
      </c>
      <c r="D139" s="385">
        <v>1.8</v>
      </c>
      <c r="E139" s="480">
        <v>79</v>
      </c>
      <c r="F139" s="441">
        <v>92</v>
      </c>
      <c r="G139" s="485" t="s">
        <v>25</v>
      </c>
      <c r="H139" s="462" t="s">
        <v>64</v>
      </c>
      <c r="I139" s="462">
        <v>0.13</v>
      </c>
      <c r="J139" s="366">
        <v>299</v>
      </c>
      <c r="K139" s="405" t="str">
        <f>HYPERLINK("https://amzn.to/2LVVOBV","link*")</f>
        <v>link*</v>
      </c>
      <c r="L139" s="405" t="str">
        <f>HYPERLINK("https://www.bhphotovideo.com/c/product/1469189-REG/viltrox_pfu_rbmh_85mm_f1_8_e_mount_85mm_f_1_8_for_sony.html/BI/19619/KBID/12129/DFF/d10-v21-t1-x954301/SID/EZ","link*")</f>
        <v>link*</v>
      </c>
      <c r="M139" s="419" t="s">
        <v>51</v>
      </c>
      <c r="N139" s="405"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O139" s="368">
        <v>80</v>
      </c>
      <c r="P139" s="364" t="s">
        <v>27</v>
      </c>
      <c r="Q139" s="462">
        <v>9</v>
      </c>
      <c r="R139" s="388">
        <v>43656</v>
      </c>
      <c r="S139" s="419" t="s">
        <v>106</v>
      </c>
      <c r="T139" s="530">
        <v>43586</v>
      </c>
      <c r="U139" s="357" t="s">
        <v>200</v>
      </c>
    </row>
    <row r="140" spans="1:21" ht="13" hidden="1">
      <c r="A140" s="424" t="s">
        <v>177</v>
      </c>
      <c r="B140" s="359">
        <v>636</v>
      </c>
      <c r="C140" s="525">
        <v>85</v>
      </c>
      <c r="D140" s="385">
        <v>1.8</v>
      </c>
      <c r="E140" s="480">
        <v>79</v>
      </c>
      <c r="F140" s="441">
        <v>92</v>
      </c>
      <c r="G140" s="419" t="s">
        <v>36</v>
      </c>
      <c r="H140" s="462" t="s">
        <v>64</v>
      </c>
      <c r="I140" s="462">
        <v>0.13</v>
      </c>
      <c r="J140" s="366">
        <v>379</v>
      </c>
      <c r="K140" s="405" t="str">
        <f>HYPERLINK("https://amzn.to/2SZfd5v","link*")</f>
        <v>link*</v>
      </c>
      <c r="L140" s="405" t="str">
        <f>HYPERLINK("https://www.bhphotovideo.com/c/product/1470585-REG/viltrox_pfu_rbmh_85mm_f1_8_stm_e_mount_85mm_f_1_8_lens_for.html/BI/19619/KBID/12129/DFF/d10-v21-t1-x955239/SID/EZ","link*")</f>
        <v>link*</v>
      </c>
      <c r="M140" s="419" t="s">
        <v>51</v>
      </c>
      <c r="N140" s="405"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140" s="368">
        <v>80</v>
      </c>
      <c r="P140" s="364" t="s">
        <v>27</v>
      </c>
      <c r="Q140" s="462">
        <v>9</v>
      </c>
      <c r="R140" s="388">
        <v>43656</v>
      </c>
      <c r="S140" s="419" t="s">
        <v>106</v>
      </c>
      <c r="T140" s="371">
        <v>43586</v>
      </c>
      <c r="U140" s="372"/>
    </row>
    <row r="141" spans="1:21" ht="13" hidden="1">
      <c r="A141" s="496" t="str">
        <f>HYPERLINK("https://phillipreeve.net/blog/rolling-review-zeiss-loxia-85mm-2-4/","Zeiss Loxia 2.4/85")</f>
        <v>Zeiss Loxia 2.4/85</v>
      </c>
      <c r="B141" s="359">
        <v>594</v>
      </c>
      <c r="C141" s="525">
        <v>85</v>
      </c>
      <c r="D141" s="460">
        <v>2.4</v>
      </c>
      <c r="E141" s="435">
        <v>63</v>
      </c>
      <c r="F141" s="455">
        <v>95</v>
      </c>
      <c r="G141" s="485" t="s">
        <v>25</v>
      </c>
      <c r="H141" s="462" t="s">
        <v>131</v>
      </c>
      <c r="I141" s="462">
        <v>0.14000000000000001</v>
      </c>
      <c r="J141" s="366">
        <v>1399</v>
      </c>
      <c r="K141" s="405" t="str">
        <f>HYPERLINK("https://amzn.to/2SY4PLd","link*")</f>
        <v>link*</v>
      </c>
      <c r="L141" s="405" t="str">
        <f>HYPERLINK("https://www.bhphotovideo.com/c/product/1282150-REG/zeiss_2162_636_loxia_85mm_f_2_4_lens.html/BI/19619/KBID/12129/DFF/d10-v21-t1-x762761/SID/EZ","link*")</f>
        <v>link*</v>
      </c>
      <c r="M141" s="419" t="s">
        <v>51</v>
      </c>
      <c r="N141" s="405"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O141" s="368">
        <v>80</v>
      </c>
      <c r="P141" s="364" t="s">
        <v>27</v>
      </c>
      <c r="Q141" s="462">
        <v>10</v>
      </c>
      <c r="R141" s="388">
        <v>43653</v>
      </c>
      <c r="S141" s="419" t="s">
        <v>87</v>
      </c>
      <c r="T141" s="371">
        <v>42644</v>
      </c>
      <c r="U141" s="372"/>
    </row>
    <row r="142" spans="1:21" ht="13">
      <c r="A142" s="373" t="str">
        <f>HYPERLINK("https://phillipreeve.net/blog/review-sony-fe-90mm-f2-8-macro-oss-one-of-sonys-finest/","Sony 2.8/90 G OSS")</f>
        <v>Sony 2.8/90 G OSS</v>
      </c>
      <c r="B142" s="359">
        <v>602</v>
      </c>
      <c r="C142" s="531">
        <v>90</v>
      </c>
      <c r="D142" s="391">
        <v>2.8</v>
      </c>
      <c r="E142" s="480">
        <v>79</v>
      </c>
      <c r="F142" s="393">
        <v>131</v>
      </c>
      <c r="G142" s="419" t="s">
        <v>36</v>
      </c>
      <c r="H142" s="462" t="s">
        <v>101</v>
      </c>
      <c r="I142" s="513">
        <v>1</v>
      </c>
      <c r="J142" s="366">
        <v>1099</v>
      </c>
      <c r="K142" s="405" t="str">
        <f>HYPERLINK("http://amzn.to/2fbeX3x","link*")</f>
        <v>link*</v>
      </c>
      <c r="L142" s="405" t="str">
        <f>HYPERLINK("https://www.bhphotovideo.com/c/product/1380868-REG/sony_fe_90mm_f_2_8_macro.html/BI/19619/KBID/12129/kw/SO9028F/DFF/d10-v2-t1-xSO9028F","link*")</f>
        <v>link*</v>
      </c>
      <c r="M142" s="405" t="str">
        <f>HYPERLINK("http://amzn.to/2vvvHcw","link*")</f>
        <v>link*</v>
      </c>
      <c r="N142" s="405"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142" s="368">
        <v>28</v>
      </c>
      <c r="P142" s="471" t="s">
        <v>66</v>
      </c>
      <c r="Q142" s="462">
        <v>9</v>
      </c>
      <c r="R142" s="388">
        <v>43784</v>
      </c>
      <c r="S142" s="419" t="s">
        <v>41</v>
      </c>
      <c r="T142" s="371">
        <v>42064</v>
      </c>
      <c r="U142" s="372"/>
    </row>
    <row r="143" spans="1:21" ht="13" hidden="1">
      <c r="A143" s="373" t="str">
        <f>HYPERLINK("https://phillipreeve.net/blog/review-sony-fe-100-f-2-8-stf-gm-oss-lens/","Sony GM 2.8/100 STF OSS")</f>
        <v>Sony GM 2.8/100 STF OSS</v>
      </c>
      <c r="B143" s="390">
        <v>700</v>
      </c>
      <c r="C143" s="532">
        <v>100</v>
      </c>
      <c r="D143" s="391">
        <v>2.8</v>
      </c>
      <c r="E143" s="442">
        <v>85</v>
      </c>
      <c r="F143" s="467">
        <v>118</v>
      </c>
      <c r="G143" s="419" t="s">
        <v>36</v>
      </c>
      <c r="H143" s="462" t="s">
        <v>64</v>
      </c>
      <c r="I143" s="468">
        <v>0.25</v>
      </c>
      <c r="J143" s="366">
        <v>1499</v>
      </c>
      <c r="K143" s="405" t="str">
        <f>HYPERLINK("https://amzn.to/2YD8rn4","link*")</f>
        <v>link*</v>
      </c>
      <c r="L143" s="405" t="str">
        <f>HYPERLINK("https://www.bhphotovideo.com/c/product/1317561-REG/sony_sel100f28gm_fe_100mm_f_2_8_stf.html/BI/19619/KBID/12129/DFF/d10-v21-t1-x795192/SID/EZ","link*")</f>
        <v>link*</v>
      </c>
      <c r="M143" s="419" t="s">
        <v>51</v>
      </c>
      <c r="N143" s="405"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143" s="368">
        <v>57</v>
      </c>
      <c r="P143" s="471" t="s">
        <v>66</v>
      </c>
      <c r="Q143" s="462">
        <v>11</v>
      </c>
      <c r="R143" s="388">
        <v>43752</v>
      </c>
      <c r="S143" s="419" t="s">
        <v>41</v>
      </c>
      <c r="T143" s="371">
        <v>42767</v>
      </c>
      <c r="U143" s="357" t="s">
        <v>178</v>
      </c>
    </row>
    <row r="144" spans="1:21" ht="13">
      <c r="A144" s="406" t="str">
        <f>HYPERLINK("https://phillipreeve.net/blog/review-tokina-firin-100mm-f2-8-fe-macro/","Tokina Firin 2.8/100 Macro")</f>
        <v>Tokina Firin 2.8/100 Macro</v>
      </c>
      <c r="B144" s="359">
        <v>570</v>
      </c>
      <c r="C144" s="532">
        <v>100</v>
      </c>
      <c r="D144" s="391">
        <v>2.8</v>
      </c>
      <c r="E144" s="510">
        <v>74</v>
      </c>
      <c r="F144" s="533">
        <v>123</v>
      </c>
      <c r="G144" s="419" t="s">
        <v>36</v>
      </c>
      <c r="H144" s="462" t="s">
        <v>147</v>
      </c>
      <c r="I144" s="513">
        <v>1</v>
      </c>
      <c r="J144" s="431">
        <v>599</v>
      </c>
      <c r="K144" s="405" t="str">
        <f>HYPERLINK("http://amzn.to/2fbeX3x","link*")</f>
        <v>link*</v>
      </c>
      <c r="L144" s="405" t="str">
        <f>HYPERLINK("https://www.bhphotovideo.com/c/product/1473390-REG/tokina_frn_afm100fxse_firin_100mm_f_2_8_fe.html/BI/19619/KBID/12129/kw/TO100AF/DFF/d10-v2-t1-xTO100AF","link*")</f>
        <v>link*</v>
      </c>
      <c r="M144" s="405"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N144" s="405"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144" s="368">
        <v>30</v>
      </c>
      <c r="P144" s="364" t="s">
        <v>27</v>
      </c>
      <c r="Q144" s="462">
        <v>9</v>
      </c>
      <c r="R144" s="388">
        <v>43686</v>
      </c>
      <c r="S144" s="419" t="s">
        <v>103</v>
      </c>
      <c r="T144" s="371">
        <v>43617</v>
      </c>
      <c r="U144" s="372" t="s">
        <v>48</v>
      </c>
    </row>
    <row r="145" spans="1:21" ht="13" hidden="1">
      <c r="A145" s="358" t="s">
        <v>179</v>
      </c>
      <c r="B145" s="383">
        <v>1395</v>
      </c>
      <c r="C145" s="532">
        <v>100</v>
      </c>
      <c r="D145" s="449" t="s">
        <v>171</v>
      </c>
      <c r="E145" s="534">
        <v>94</v>
      </c>
      <c r="F145" s="474">
        <v>205</v>
      </c>
      <c r="G145" s="419" t="s">
        <v>36</v>
      </c>
      <c r="H145" s="462" t="s">
        <v>80</v>
      </c>
      <c r="I145" s="468">
        <v>0.35</v>
      </c>
      <c r="J145" s="366">
        <v>2499</v>
      </c>
      <c r="K145" s="405" t="str">
        <f>HYPERLINK("https://amzn.to/2SZ0aZO","link*")</f>
        <v>link*</v>
      </c>
      <c r="L145" s="405" t="str">
        <f>HYPERLINK("https://www.bhphotovideo.com/c/product/1333230-REG/sony_sel100400gm_fe_100_400mm_f_4_5_5_6_gm.html/BI/19619/KBID/12129/DFF/d10-v21-t1-x817745/SID/EZ","link*")</f>
        <v>link*</v>
      </c>
      <c r="M145" s="419" t="s">
        <v>51</v>
      </c>
      <c r="N145" s="405"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145" s="368">
        <v>98</v>
      </c>
      <c r="P145" s="471" t="s">
        <v>66</v>
      </c>
      <c r="Q145" s="462">
        <v>11</v>
      </c>
      <c r="R145" s="523" t="s">
        <v>180</v>
      </c>
      <c r="S145" s="419" t="s">
        <v>41</v>
      </c>
      <c r="T145" s="371">
        <v>42826</v>
      </c>
      <c r="U145" s="372"/>
    </row>
    <row r="146" spans="1:21" ht="13" hidden="1">
      <c r="A146" s="358" t="s">
        <v>181</v>
      </c>
      <c r="B146" s="383">
        <v>1600</v>
      </c>
      <c r="C146" s="535">
        <v>105</v>
      </c>
      <c r="D146" s="421">
        <v>1.4</v>
      </c>
      <c r="E146" s="473">
        <v>116</v>
      </c>
      <c r="F146" s="536">
        <v>132</v>
      </c>
      <c r="G146" s="419" t="s">
        <v>36</v>
      </c>
      <c r="H146" s="537" t="s">
        <v>182</v>
      </c>
      <c r="I146" s="462">
        <v>0.12</v>
      </c>
      <c r="J146" s="366">
        <v>1599</v>
      </c>
      <c r="K146" s="405" t="str">
        <f>HYPERLINK("https://amzn.to/2EWeThZ","link*")</f>
        <v>link*</v>
      </c>
      <c r="L146" s="405" t="str">
        <f>HYPERLINK("https://www.bhphotovideo.com/c/product/1393488-REG/sigma_105mm_f_1_4_dg_hsm.html/BI/19619/KBID/12129/kw/SI10514SO/DFF/d10-v2-t1-xSI10514SO","link*")</f>
        <v>link*</v>
      </c>
      <c r="M146" s="405" t="str">
        <f>HYPERLINK("https://amzn.to/2WpOvTy","link*")</f>
        <v>link*</v>
      </c>
      <c r="N146" s="405" t="e">
        <f>HYPERLINK("http://rover.ebay.com/rover/1/711-53200-19255-0/1?icep_ff3=9&amp;pub=5575076376&amp;toolid=10001&amp;campid=5338164340&amp;customid=&amp;icep_uq=sigma+art+100+1.4+sony&amp;icep_sellerId=&amp;icep_ex_kw=&amp;icep_sortBy=12&amp;icep_catId=3323&amp;icep_minPrice=&amp;icep_maxPrice=&amp;ipn=psmain&amp;icep_vec"&amp;"torid=229466&amp;kwid=902099&amp;mtid=824&amp;kw=lg","link*")</f>
        <v>#VALUE!</v>
      </c>
      <c r="O146" s="368">
        <v>100</v>
      </c>
      <c r="P146" s="364" t="s">
        <v>27</v>
      </c>
      <c r="Q146" s="462">
        <v>9</v>
      </c>
      <c r="R146" s="388">
        <v>43816</v>
      </c>
      <c r="S146" s="419" t="s">
        <v>183</v>
      </c>
      <c r="T146" s="371">
        <v>43221</v>
      </c>
      <c r="U146" s="372" t="s">
        <v>48</v>
      </c>
    </row>
    <row r="147" spans="1:21" ht="13">
      <c r="A147" s="373" t="str">
        <f>HYPERLINK("https://phillipreeve.net/blog/voigtlander-110mm-f2-5-apo-review/","Voigtlander 110mm F2.5 APO Macro")</f>
        <v>Voigtlander 110mm F2.5 APO Macro</v>
      </c>
      <c r="B147" s="390">
        <v>771</v>
      </c>
      <c r="C147" s="538">
        <v>110</v>
      </c>
      <c r="D147" s="539">
        <v>2.5</v>
      </c>
      <c r="E147" s="516">
        <v>78</v>
      </c>
      <c r="F147" s="509">
        <v>100</v>
      </c>
      <c r="G147" s="485" t="s">
        <v>25</v>
      </c>
      <c r="H147" s="462" t="s">
        <v>71</v>
      </c>
      <c r="I147" s="513">
        <v>1</v>
      </c>
      <c r="J147" s="366">
        <v>1099</v>
      </c>
      <c r="K147" s="405" t="str">
        <f>HYPERLINK("https://amzn.to/2SXYsrm","link*")</f>
        <v>link*</v>
      </c>
      <c r="L147" s="405" t="str">
        <f>HYPERLINK("https://www.bhphotovideo.com/c/product/1418780-REG/voigtlander_ba349a_macro_apo_lanthar_110mm_f_2_5.html/BI/19619/KBID/12129/kw/VO11025/DFF/d10-v2-t1-xVO11025","link*")</f>
        <v>link*</v>
      </c>
      <c r="M147" s="419" t="s">
        <v>51</v>
      </c>
      <c r="N147" s="405"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O147" s="368">
        <v>35</v>
      </c>
      <c r="P147" s="364" t="s">
        <v>27</v>
      </c>
      <c r="Q147" s="462">
        <v>10</v>
      </c>
      <c r="R147" s="388">
        <v>43813</v>
      </c>
      <c r="S147" s="419" t="s">
        <v>29</v>
      </c>
      <c r="T147" s="371">
        <v>43405</v>
      </c>
      <c r="U147" s="372"/>
    </row>
    <row r="148" spans="1:21" ht="13" hidden="1">
      <c r="A148" s="373" t="str">
        <f>HYPERLINK("https://phillipreeve.net/blog/review-sony-fe-135mm-f1-8-gm/","Sony 1.8/135 GM")</f>
        <v>Sony 1.8/135 GM</v>
      </c>
      <c r="B148" s="383">
        <v>950</v>
      </c>
      <c r="C148" s="540">
        <v>135</v>
      </c>
      <c r="D148" s="385">
        <v>1.8</v>
      </c>
      <c r="E148" s="541">
        <v>90</v>
      </c>
      <c r="F148" s="542">
        <v>127</v>
      </c>
      <c r="G148" s="419" t="s">
        <v>36</v>
      </c>
      <c r="H148" s="479" t="s">
        <v>68</v>
      </c>
      <c r="I148" s="468">
        <v>0.25</v>
      </c>
      <c r="J148" s="366">
        <v>1899</v>
      </c>
      <c r="K148" s="405" t="str">
        <f>HYPERLINK("https://amzn.to/2WtonMJ","link*")</f>
        <v>link*</v>
      </c>
      <c r="L148" s="405" t="str">
        <f>HYPERLINK("https://www.bhphotovideo.com/c/product/1393495-REG/sigma_135mm_f_1_8_dg_hsm.html/BI/19619/KBID/12129/kw/SI13518SO/DFF/d10-v2-t1-xSI13518SO","link*")</f>
        <v>link*</v>
      </c>
      <c r="M148" s="405" t="str">
        <f>HYPERLINK("https://amzn.to/2Z9KKDE","link*")</f>
        <v>link*</v>
      </c>
      <c r="N148" s="405"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148" s="368">
        <v>70</v>
      </c>
      <c r="P148" s="364" t="s">
        <v>27</v>
      </c>
      <c r="Q148" s="462">
        <v>11</v>
      </c>
      <c r="R148" s="388">
        <v>43751</v>
      </c>
      <c r="S148" s="419" t="s">
        <v>41</v>
      </c>
      <c r="T148" s="371">
        <v>43525</v>
      </c>
      <c r="U148" s="372"/>
    </row>
    <row r="149" spans="1:21" ht="13" hidden="1">
      <c r="A149" s="358" t="s">
        <v>185</v>
      </c>
      <c r="B149" s="383">
        <v>1130</v>
      </c>
      <c r="C149" s="540">
        <v>135</v>
      </c>
      <c r="D149" s="385">
        <v>1.8</v>
      </c>
      <c r="E149" s="498">
        <v>91</v>
      </c>
      <c r="F149" s="483">
        <v>115</v>
      </c>
      <c r="G149" s="419" t="s">
        <v>36</v>
      </c>
      <c r="H149" s="479" t="s">
        <v>68</v>
      </c>
      <c r="I149" s="462">
        <v>0.2</v>
      </c>
      <c r="J149" s="431">
        <v>1399</v>
      </c>
      <c r="K149" s="405" t="str">
        <f>HYPERLINK("https://amzn.to/2yxIM4R","link*")</f>
        <v>link*</v>
      </c>
      <c r="L149" s="405" t="str">
        <f>HYPERLINK("https://www.bhphotovideo.com/c/product/1393495-REG/sigma_135mm_f_1_8_dg_hsm.html/BI/19619/KBID/12129/DFF/d10-v21-t1-x881160/SID/EZ","link*")</f>
        <v>link*</v>
      </c>
      <c r="M149" s="419" t="s">
        <v>51</v>
      </c>
      <c r="N149" s="405"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O149" s="368">
        <v>87</v>
      </c>
      <c r="P149" s="364" t="s">
        <v>27</v>
      </c>
      <c r="Q149" s="462">
        <v>9</v>
      </c>
      <c r="R149" s="388">
        <v>43751</v>
      </c>
      <c r="S149" s="419" t="s">
        <v>47</v>
      </c>
      <c r="T149" s="371">
        <v>43221</v>
      </c>
      <c r="U149" s="372" t="s">
        <v>48</v>
      </c>
    </row>
    <row r="150" spans="1:21" ht="13" hidden="1">
      <c r="A150" s="373" t="str">
        <f>HYPERLINK("https://phillipreeve.net/blog/zeiss-batis-apo-sonnar-t-135mm-f2-8/","Zeiss 2.8/135 APO")</f>
        <v>Zeiss 2.8/135 APO</v>
      </c>
      <c r="B150" s="359">
        <v>614</v>
      </c>
      <c r="C150" s="540">
        <v>135</v>
      </c>
      <c r="D150" s="391">
        <v>2.8</v>
      </c>
      <c r="E150" s="543">
        <v>99</v>
      </c>
      <c r="F150" s="544">
        <v>120</v>
      </c>
      <c r="G150" s="419" t="s">
        <v>36</v>
      </c>
      <c r="H150" s="462" t="s">
        <v>73</v>
      </c>
      <c r="I150" s="462">
        <v>0.19</v>
      </c>
      <c r="J150" s="366">
        <v>1699</v>
      </c>
      <c r="K150" s="405" t="str">
        <f>HYPERLINK("https://amzn.to/319GJA4","link*")</f>
        <v>link*</v>
      </c>
      <c r="L150" s="405" t="str">
        <f>HYPERLINK("https://www.bhphotovideo.com/c/product/1330083-REG/zeiss_2136_695_batis_135mm_f_2_8_lens.html/BI/19619/KBID/12129/DFF/d10-v21-t1-x814884/SID/EZ","link*")</f>
        <v>link*</v>
      </c>
      <c r="M150" s="419" t="s">
        <v>51</v>
      </c>
      <c r="N150" s="405"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150" s="368">
        <v>87</v>
      </c>
      <c r="P150" s="471" t="s">
        <v>66</v>
      </c>
      <c r="Q150" s="462">
        <v>9</v>
      </c>
      <c r="R150" s="388">
        <v>43783</v>
      </c>
      <c r="S150" s="419" t="s">
        <v>87</v>
      </c>
      <c r="T150" s="371">
        <v>42826</v>
      </c>
      <c r="U150" s="372"/>
    </row>
    <row r="151" spans="1:21" ht="13" hidden="1">
      <c r="A151" s="500" t="s">
        <v>186</v>
      </c>
      <c r="B151" s="383">
        <v>2215</v>
      </c>
      <c r="C151" s="545">
        <v>200</v>
      </c>
      <c r="D151" s="449" t="s">
        <v>187</v>
      </c>
      <c r="E151" s="473">
        <v>112</v>
      </c>
      <c r="F151" s="474">
        <v>318</v>
      </c>
      <c r="G151" s="419" t="s">
        <v>36</v>
      </c>
      <c r="H151" s="497" t="s">
        <v>152</v>
      </c>
      <c r="I151" s="462">
        <v>0.2</v>
      </c>
      <c r="J151" s="366">
        <v>1999</v>
      </c>
      <c r="K151" s="419"/>
      <c r="L151" s="405" t="str">
        <f>HYPERLINK("https://www.bhphotovideo.com/c/product/1485540-REG/sony_sel200600g_fe_200_600mm_f_5_6_6_3_g.html/BI/19619/KBID/12129/DFF/d10-v21-t1-x968882/SID/EZ","link*")</f>
        <v>link*</v>
      </c>
      <c r="M151" s="419" t="s">
        <v>51</v>
      </c>
      <c r="N151" s="405"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O151" s="368">
        <v>240</v>
      </c>
      <c r="P151" s="471" t="s">
        <v>66</v>
      </c>
      <c r="Q151" s="462">
        <v>11</v>
      </c>
      <c r="R151" s="523" t="s">
        <v>188</v>
      </c>
      <c r="S151" s="419" t="s">
        <v>41</v>
      </c>
      <c r="T151" s="371">
        <v>43647</v>
      </c>
      <c r="U151" s="372"/>
    </row>
    <row r="152" spans="1:21" ht="13" hidden="1">
      <c r="A152" s="472" t="s">
        <v>189</v>
      </c>
      <c r="B152" s="383">
        <v>2895</v>
      </c>
      <c r="C152" s="546">
        <v>400</v>
      </c>
      <c r="D152" s="391">
        <v>2.8</v>
      </c>
      <c r="E152" s="473">
        <v>158</v>
      </c>
      <c r="F152" s="474">
        <v>359</v>
      </c>
      <c r="G152" s="419" t="s">
        <v>36</v>
      </c>
      <c r="H152" s="462" t="s">
        <v>190</v>
      </c>
      <c r="I152" s="462">
        <v>0.16</v>
      </c>
      <c r="J152" s="366">
        <v>11999</v>
      </c>
      <c r="K152" s="419"/>
      <c r="L152" s="405" t="str">
        <f>HYPERLINK("https://www.bhphotovideo.com/c/product/1369634-REG/sony_fe_400mm_f_2_8_gm.html/BI/19619/KBID/12129/DFF/d10-v21-t1-x905722/SID/EZ","link*")</f>
        <v>link*</v>
      </c>
      <c r="M152" s="419" t="s">
        <v>51</v>
      </c>
      <c r="N152" s="405"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O152" s="368">
        <v>270</v>
      </c>
      <c r="P152" s="471" t="s">
        <v>66</v>
      </c>
      <c r="Q152" s="462">
        <v>11</v>
      </c>
      <c r="R152" s="523" t="s">
        <v>191</v>
      </c>
      <c r="S152" s="419" t="s">
        <v>41</v>
      </c>
      <c r="T152" s="371">
        <v>43313</v>
      </c>
      <c r="U152" s="372"/>
    </row>
    <row r="153" spans="1:21" ht="13" hidden="1">
      <c r="A153" s="547" t="s">
        <v>192</v>
      </c>
      <c r="B153" s="548">
        <v>3040</v>
      </c>
      <c r="C153" s="549">
        <v>600</v>
      </c>
      <c r="D153" s="550">
        <v>4</v>
      </c>
      <c r="E153" s="473">
        <v>164</v>
      </c>
      <c r="F153" s="474">
        <v>449</v>
      </c>
      <c r="G153" s="551" t="s">
        <v>36</v>
      </c>
      <c r="H153" s="552" t="s">
        <v>26</v>
      </c>
      <c r="I153" s="552">
        <v>0.14000000000000001</v>
      </c>
      <c r="J153" s="553" t="s">
        <v>193</v>
      </c>
      <c r="K153" s="419"/>
      <c r="L153" s="405" t="str">
        <f>HYPERLINK("https://www.bhphotovideo.com/c/product/1485539-REG/sony_sel600f40gm_fe_600mm_f_4_gm.html/BI/19619/KBID/12129/DFF/d10-v21-t1-x968881/SID/EZ","link*")</f>
        <v>link*</v>
      </c>
      <c r="M153" s="419" t="s">
        <v>51</v>
      </c>
      <c r="N153" s="405"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153" s="554">
        <v>451</v>
      </c>
      <c r="P153" s="471" t="s">
        <v>66</v>
      </c>
      <c r="Q153" s="552">
        <v>11</v>
      </c>
      <c r="R153" s="555" t="s">
        <v>195</v>
      </c>
      <c r="S153" s="551" t="s">
        <v>41</v>
      </c>
      <c r="T153" s="556">
        <v>43678</v>
      </c>
      <c r="U153" s="372"/>
    </row>
    <row r="154" spans="1:21" ht="13">
      <c r="H154" s="226"/>
      <c r="K154" s="214"/>
      <c r="L154" s="214"/>
      <c r="M154" s="214"/>
      <c r="N154" s="214"/>
    </row>
    <row r="155" spans="1:21" ht="13">
      <c r="H155" s="226"/>
      <c r="K155" s="214"/>
      <c r="L155" s="214"/>
      <c r="M155" s="214"/>
      <c r="N155" s="214"/>
    </row>
    <row r="156" spans="1:21" ht="13">
      <c r="H156" s="226"/>
      <c r="K156" s="214"/>
      <c r="L156" s="214"/>
      <c r="M156" s="214"/>
      <c r="N156" s="214"/>
    </row>
    <row r="157" spans="1:21" ht="13">
      <c r="H157" s="226"/>
    </row>
    <row r="158" spans="1:21" ht="13">
      <c r="H158" s="226"/>
    </row>
    <row r="159" spans="1:21" ht="13">
      <c r="H159" s="226"/>
    </row>
    <row r="160" spans="1:21" ht="13">
      <c r="H160" s="226"/>
    </row>
    <row r="161" spans="8:8" ht="13">
      <c r="H161" s="226"/>
    </row>
    <row r="162" spans="8:8" ht="13">
      <c r="H162" s="226"/>
    </row>
    <row r="163" spans="8:8" ht="13">
      <c r="H163" s="226"/>
    </row>
    <row r="164" spans="8:8" ht="13">
      <c r="H164" s="226"/>
    </row>
    <row r="165" spans="8:8" ht="13">
      <c r="H165" s="226"/>
    </row>
    <row r="166" spans="8:8" ht="13">
      <c r="H166" s="226"/>
    </row>
    <row r="167" spans="8:8" ht="13">
      <c r="H167" s="226"/>
    </row>
    <row r="168" spans="8:8" ht="13">
      <c r="H168" s="226"/>
    </row>
    <row r="169" spans="8:8" ht="13">
      <c r="H169" s="226"/>
    </row>
    <row r="170" spans="8:8" ht="13">
      <c r="H170" s="226"/>
    </row>
    <row r="171" spans="8:8" ht="13">
      <c r="H171" s="226"/>
    </row>
    <row r="172" spans="8:8" ht="13">
      <c r="H172" s="226"/>
    </row>
    <row r="173" spans="8:8" ht="13">
      <c r="H173" s="226"/>
    </row>
    <row r="174" spans="8:8" ht="13">
      <c r="H174" s="226"/>
    </row>
    <row r="175" spans="8:8" ht="13">
      <c r="H175" s="226"/>
    </row>
    <row r="176" spans="8:8" ht="13">
      <c r="H176" s="226"/>
    </row>
    <row r="177" spans="8:8" ht="13">
      <c r="H177" s="226"/>
    </row>
    <row r="178" spans="8:8" ht="13">
      <c r="H178" s="226"/>
    </row>
    <row r="179" spans="8:8" ht="13">
      <c r="H179" s="226"/>
    </row>
    <row r="180" spans="8:8" ht="13">
      <c r="H180" s="226"/>
    </row>
    <row r="181" spans="8:8" ht="13">
      <c r="H181" s="226"/>
    </row>
    <row r="182" spans="8:8" ht="13">
      <c r="H182" s="226"/>
    </row>
    <row r="183" spans="8:8" ht="13">
      <c r="H183" s="226"/>
    </row>
    <row r="184" spans="8:8" ht="13">
      <c r="H184" s="226"/>
    </row>
    <row r="185" spans="8:8" ht="13">
      <c r="H185" s="226"/>
    </row>
    <row r="186" spans="8:8" ht="13">
      <c r="H186" s="226"/>
    </row>
    <row r="187" spans="8:8" ht="13">
      <c r="H187" s="226"/>
    </row>
    <row r="188" spans="8:8" ht="13">
      <c r="H188" s="226"/>
    </row>
    <row r="189" spans="8:8" ht="13">
      <c r="H189" s="226"/>
    </row>
    <row r="190" spans="8:8" ht="13">
      <c r="H190" s="226"/>
    </row>
    <row r="191" spans="8:8" ht="13">
      <c r="H191" s="226"/>
    </row>
    <row r="192" spans="8:8" ht="13">
      <c r="H192" s="226"/>
    </row>
    <row r="193" spans="8:8" ht="13">
      <c r="H193" s="226"/>
    </row>
    <row r="194" spans="8:8" ht="13">
      <c r="H194" s="226"/>
    </row>
    <row r="195" spans="8:8" ht="13">
      <c r="H195" s="226"/>
    </row>
    <row r="196" spans="8:8" ht="13">
      <c r="H196" s="226"/>
    </row>
    <row r="197" spans="8:8" ht="13">
      <c r="H197" s="226"/>
    </row>
    <row r="198" spans="8:8" ht="13">
      <c r="H198" s="226"/>
    </row>
    <row r="199" spans="8:8" ht="13">
      <c r="H199" s="226"/>
    </row>
    <row r="200" spans="8:8" ht="13">
      <c r="H200" s="226"/>
    </row>
    <row r="201" spans="8:8" ht="13">
      <c r="H201" s="226"/>
    </row>
    <row r="202" spans="8:8" ht="13">
      <c r="H202" s="226"/>
    </row>
    <row r="203" spans="8:8" ht="13">
      <c r="H203" s="226"/>
    </row>
    <row r="204" spans="8:8" ht="13">
      <c r="H204" s="226"/>
    </row>
    <row r="205" spans="8:8" ht="13">
      <c r="H205" s="226"/>
    </row>
    <row r="206" spans="8:8" ht="13">
      <c r="H206" s="226"/>
    </row>
    <row r="207" spans="8:8" ht="13">
      <c r="H207" s="226"/>
    </row>
    <row r="208" spans="8:8" ht="13">
      <c r="H208" s="226"/>
    </row>
    <row r="209" spans="8:8" ht="13">
      <c r="H209" s="226"/>
    </row>
    <row r="210" spans="8:8" ht="13">
      <c r="H210" s="226"/>
    </row>
    <row r="211" spans="8:8" ht="13">
      <c r="H211" s="226"/>
    </row>
    <row r="212" spans="8:8" ht="13">
      <c r="H212" s="226"/>
    </row>
    <row r="213" spans="8:8" ht="13">
      <c r="H213" s="226"/>
    </row>
    <row r="214" spans="8:8" ht="13">
      <c r="H214" s="226"/>
    </row>
    <row r="215" spans="8:8" ht="13">
      <c r="H215" s="226"/>
    </row>
    <row r="216" spans="8:8" ht="13">
      <c r="H216" s="226"/>
    </row>
    <row r="217" spans="8:8" ht="13">
      <c r="H217" s="226"/>
    </row>
    <row r="218" spans="8:8" ht="13">
      <c r="H218" s="226"/>
    </row>
    <row r="219" spans="8:8" ht="13">
      <c r="H219" s="226"/>
    </row>
    <row r="220" spans="8:8" ht="13">
      <c r="H220" s="226"/>
    </row>
    <row r="221" spans="8:8" ht="13">
      <c r="H221" s="226"/>
    </row>
    <row r="222" spans="8:8" ht="13">
      <c r="H222" s="226"/>
    </row>
    <row r="223" spans="8:8" ht="13">
      <c r="H223" s="226"/>
    </row>
    <row r="224" spans="8:8" ht="13">
      <c r="H224" s="226"/>
    </row>
    <row r="225" spans="8:8" ht="13">
      <c r="H225" s="226"/>
    </row>
    <row r="226" spans="8:8" ht="13">
      <c r="H226" s="226"/>
    </row>
    <row r="227" spans="8:8" ht="13">
      <c r="H227" s="226"/>
    </row>
    <row r="228" spans="8:8" ht="13">
      <c r="H228" s="226"/>
    </row>
    <row r="229" spans="8:8" ht="13">
      <c r="H229" s="226"/>
    </row>
    <row r="230" spans="8:8" ht="13">
      <c r="H230" s="226"/>
    </row>
    <row r="231" spans="8:8" ht="13">
      <c r="H231" s="226"/>
    </row>
    <row r="232" spans="8:8" ht="13">
      <c r="H232" s="226"/>
    </row>
    <row r="233" spans="8:8" ht="13">
      <c r="H233" s="226"/>
    </row>
    <row r="234" spans="8:8" ht="13">
      <c r="H234" s="226"/>
    </row>
    <row r="235" spans="8:8" ht="13">
      <c r="H235" s="226"/>
    </row>
    <row r="236" spans="8:8" ht="13">
      <c r="H236" s="226"/>
    </row>
    <row r="237" spans="8:8" ht="13">
      <c r="H237" s="226"/>
    </row>
    <row r="238" spans="8:8" ht="13">
      <c r="H238" s="226"/>
    </row>
    <row r="239" spans="8:8" ht="13">
      <c r="H239" s="226"/>
    </row>
    <row r="240" spans="8:8" ht="13">
      <c r="H240" s="226"/>
    </row>
    <row r="241" spans="8:8" ht="13">
      <c r="H241" s="226"/>
    </row>
    <row r="242" spans="8:8" ht="13">
      <c r="H242" s="226"/>
    </row>
    <row r="243" spans="8:8" ht="13">
      <c r="H243" s="226"/>
    </row>
    <row r="244" spans="8:8" ht="13">
      <c r="H244" s="226"/>
    </row>
    <row r="245" spans="8:8" ht="13">
      <c r="H245" s="226"/>
    </row>
    <row r="246" spans="8:8" ht="13">
      <c r="H246" s="226"/>
    </row>
    <row r="247" spans="8:8" ht="13">
      <c r="H247" s="226"/>
    </row>
    <row r="248" spans="8:8" ht="13">
      <c r="H248" s="226"/>
    </row>
    <row r="249" spans="8:8" ht="13">
      <c r="H249" s="226"/>
    </row>
    <row r="250" spans="8:8" ht="13">
      <c r="H250" s="226"/>
    </row>
    <row r="251" spans="8:8" ht="13">
      <c r="H251" s="226"/>
    </row>
    <row r="252" spans="8:8" ht="13">
      <c r="H252" s="226"/>
    </row>
    <row r="253" spans="8:8" ht="13">
      <c r="H253" s="226"/>
    </row>
    <row r="254" spans="8:8" ht="13">
      <c r="H254" s="226"/>
    </row>
    <row r="255" spans="8:8" ht="13">
      <c r="H255" s="226"/>
    </row>
    <row r="256" spans="8:8" ht="13">
      <c r="H256" s="226"/>
    </row>
    <row r="257" spans="8:8" ht="13">
      <c r="H257" s="226"/>
    </row>
    <row r="258" spans="8:8" ht="13">
      <c r="H258" s="226"/>
    </row>
    <row r="259" spans="8:8" ht="13">
      <c r="H259" s="226"/>
    </row>
    <row r="260" spans="8:8" ht="13">
      <c r="H260" s="226"/>
    </row>
    <row r="261" spans="8:8" ht="13">
      <c r="H261" s="226"/>
    </row>
    <row r="262" spans="8:8" ht="13">
      <c r="H262" s="226"/>
    </row>
    <row r="263" spans="8:8" ht="13">
      <c r="H263" s="226"/>
    </row>
    <row r="264" spans="8:8" ht="13">
      <c r="H264" s="226"/>
    </row>
    <row r="265" spans="8:8" ht="13">
      <c r="H265" s="226"/>
    </row>
    <row r="266" spans="8:8" ht="13">
      <c r="H266" s="226"/>
    </row>
    <row r="267" spans="8:8" ht="13">
      <c r="H267" s="226"/>
    </row>
    <row r="268" spans="8:8" ht="13">
      <c r="H268" s="226"/>
    </row>
    <row r="269" spans="8:8" ht="13">
      <c r="H269" s="226"/>
    </row>
    <row r="270" spans="8:8" ht="13">
      <c r="H270" s="226"/>
    </row>
    <row r="271" spans="8:8" ht="13">
      <c r="H271" s="226"/>
    </row>
    <row r="272" spans="8:8" ht="13">
      <c r="H272" s="226"/>
    </row>
    <row r="273" spans="8:8" ht="13">
      <c r="H273" s="226"/>
    </row>
    <row r="274" spans="8:8" ht="13">
      <c r="H274" s="226"/>
    </row>
    <row r="275" spans="8:8" ht="13">
      <c r="H275" s="226"/>
    </row>
    <row r="276" spans="8:8" ht="13">
      <c r="H276" s="226"/>
    </row>
    <row r="277" spans="8:8" ht="13">
      <c r="H277" s="226"/>
    </row>
    <row r="278" spans="8:8" ht="13">
      <c r="H278" s="226"/>
    </row>
    <row r="279" spans="8:8" ht="13">
      <c r="H279" s="226"/>
    </row>
    <row r="280" spans="8:8" ht="13">
      <c r="H280" s="226"/>
    </row>
    <row r="281" spans="8:8" ht="13">
      <c r="H281" s="226"/>
    </row>
    <row r="282" spans="8:8" ht="13">
      <c r="H282" s="226"/>
    </row>
    <row r="283" spans="8:8" ht="13">
      <c r="H283" s="226"/>
    </row>
    <row r="284" spans="8:8" ht="13">
      <c r="H284" s="226"/>
    </row>
    <row r="285" spans="8:8" ht="13">
      <c r="H285" s="226"/>
    </row>
    <row r="286" spans="8:8" ht="13">
      <c r="H286" s="226"/>
    </row>
    <row r="287" spans="8:8" ht="13">
      <c r="H287" s="226"/>
    </row>
    <row r="288" spans="8:8" ht="13">
      <c r="H288" s="226"/>
    </row>
    <row r="289" spans="8:8" ht="13">
      <c r="H289" s="226"/>
    </row>
    <row r="290" spans="8:8" ht="13">
      <c r="H290" s="226"/>
    </row>
    <row r="291" spans="8:8" ht="13">
      <c r="H291" s="226"/>
    </row>
    <row r="292" spans="8:8" ht="13">
      <c r="H292" s="226"/>
    </row>
    <row r="293" spans="8:8" ht="13">
      <c r="H293" s="226"/>
    </row>
    <row r="294" spans="8:8" ht="13">
      <c r="H294" s="226"/>
    </row>
    <row r="295" spans="8:8" ht="13">
      <c r="H295" s="226"/>
    </row>
    <row r="296" spans="8:8" ht="13">
      <c r="H296" s="226"/>
    </row>
    <row r="297" spans="8:8" ht="13">
      <c r="H297" s="226"/>
    </row>
    <row r="298" spans="8:8" ht="13">
      <c r="H298" s="226"/>
    </row>
    <row r="299" spans="8:8" ht="13">
      <c r="H299" s="226"/>
    </row>
    <row r="300" spans="8:8" ht="13">
      <c r="H300" s="226"/>
    </row>
    <row r="301" spans="8:8" ht="13">
      <c r="H301" s="226"/>
    </row>
    <row r="302" spans="8:8" ht="13">
      <c r="H302" s="226"/>
    </row>
    <row r="303" spans="8:8" ht="13">
      <c r="H303" s="226"/>
    </row>
    <row r="304" spans="8:8" ht="13">
      <c r="H304" s="226"/>
    </row>
    <row r="305" spans="8:8" ht="13">
      <c r="H305" s="226"/>
    </row>
    <row r="306" spans="8:8" ht="13">
      <c r="H306" s="226"/>
    </row>
    <row r="307" spans="8:8" ht="13">
      <c r="H307" s="226"/>
    </row>
    <row r="308" spans="8:8" ht="13">
      <c r="H308" s="226"/>
    </row>
    <row r="309" spans="8:8" ht="13">
      <c r="H309" s="226"/>
    </row>
    <row r="310" spans="8:8" ht="13">
      <c r="H310" s="226"/>
    </row>
    <row r="311" spans="8:8" ht="13">
      <c r="H311" s="226"/>
    </row>
    <row r="312" spans="8:8" ht="13">
      <c r="H312" s="226"/>
    </row>
    <row r="313" spans="8:8" ht="13">
      <c r="H313" s="226"/>
    </row>
    <row r="314" spans="8:8" ht="13">
      <c r="H314" s="226"/>
    </row>
    <row r="315" spans="8:8" ht="13">
      <c r="H315" s="226"/>
    </row>
    <row r="316" spans="8:8" ht="13">
      <c r="H316" s="226"/>
    </row>
    <row r="317" spans="8:8" ht="13">
      <c r="H317" s="226"/>
    </row>
    <row r="318" spans="8:8" ht="13">
      <c r="H318" s="226"/>
    </row>
    <row r="319" spans="8:8" ht="13">
      <c r="H319" s="226"/>
    </row>
    <row r="320" spans="8:8" ht="13">
      <c r="H320" s="226"/>
    </row>
    <row r="321" spans="8:8" ht="13">
      <c r="H321" s="226"/>
    </row>
    <row r="322" spans="8:8" ht="13">
      <c r="H322" s="226"/>
    </row>
    <row r="323" spans="8:8" ht="13">
      <c r="H323" s="226"/>
    </row>
    <row r="324" spans="8:8" ht="13">
      <c r="H324" s="226"/>
    </row>
    <row r="325" spans="8:8" ht="13">
      <c r="H325" s="226"/>
    </row>
    <row r="326" spans="8:8" ht="13">
      <c r="H326" s="226"/>
    </row>
    <row r="327" spans="8:8" ht="13">
      <c r="H327" s="226"/>
    </row>
    <row r="328" spans="8:8" ht="13">
      <c r="H328" s="226"/>
    </row>
    <row r="329" spans="8:8" ht="13">
      <c r="H329" s="226"/>
    </row>
    <row r="330" spans="8:8" ht="13">
      <c r="H330" s="226"/>
    </row>
    <row r="331" spans="8:8" ht="13">
      <c r="H331" s="226"/>
    </row>
    <row r="332" spans="8:8" ht="13">
      <c r="H332" s="226"/>
    </row>
    <row r="333" spans="8:8" ht="13">
      <c r="H333" s="226"/>
    </row>
    <row r="334" spans="8:8" ht="13">
      <c r="H334" s="226"/>
    </row>
    <row r="335" spans="8:8" ht="13">
      <c r="H335" s="226"/>
    </row>
    <row r="336" spans="8:8" ht="13">
      <c r="H336" s="226"/>
    </row>
    <row r="337" spans="8:8" ht="13">
      <c r="H337" s="226"/>
    </row>
    <row r="338" spans="8:8" ht="13">
      <c r="H338" s="226"/>
    </row>
    <row r="339" spans="8:8" ht="13">
      <c r="H339" s="226"/>
    </row>
    <row r="340" spans="8:8" ht="13">
      <c r="H340" s="226"/>
    </row>
    <row r="341" spans="8:8" ht="13">
      <c r="H341" s="226"/>
    </row>
    <row r="342" spans="8:8" ht="13">
      <c r="H342" s="226"/>
    </row>
    <row r="343" spans="8:8" ht="13">
      <c r="H343" s="226"/>
    </row>
    <row r="344" spans="8:8" ht="13">
      <c r="H344" s="226"/>
    </row>
    <row r="345" spans="8:8" ht="13">
      <c r="H345" s="226"/>
    </row>
    <row r="346" spans="8:8" ht="13">
      <c r="H346" s="226"/>
    </row>
    <row r="347" spans="8:8" ht="13">
      <c r="H347" s="226"/>
    </row>
    <row r="348" spans="8:8" ht="13">
      <c r="H348" s="226"/>
    </row>
    <row r="349" spans="8:8" ht="13">
      <c r="H349" s="226"/>
    </row>
    <row r="350" spans="8:8" ht="13">
      <c r="H350" s="226"/>
    </row>
    <row r="351" spans="8:8" ht="13">
      <c r="H351" s="226"/>
    </row>
    <row r="352" spans="8:8" ht="13">
      <c r="H352" s="226"/>
    </row>
    <row r="353" spans="8:8" ht="13">
      <c r="H353" s="226"/>
    </row>
    <row r="354" spans="8:8" ht="13">
      <c r="H354" s="226"/>
    </row>
    <row r="355" spans="8:8" ht="13">
      <c r="H355" s="226"/>
    </row>
    <row r="356" spans="8:8" ht="13">
      <c r="H356" s="226"/>
    </row>
    <row r="357" spans="8:8" ht="13">
      <c r="H357" s="226"/>
    </row>
    <row r="358" spans="8:8" ht="13">
      <c r="H358" s="226"/>
    </row>
    <row r="359" spans="8:8" ht="13">
      <c r="H359" s="226"/>
    </row>
    <row r="360" spans="8:8" ht="13">
      <c r="H360" s="226"/>
    </row>
    <row r="361" spans="8:8" ht="13">
      <c r="H361" s="226"/>
    </row>
    <row r="362" spans="8:8" ht="13">
      <c r="H362" s="226"/>
    </row>
    <row r="363" spans="8:8" ht="13">
      <c r="H363" s="226"/>
    </row>
    <row r="364" spans="8:8" ht="13">
      <c r="H364" s="226"/>
    </row>
    <row r="365" spans="8:8" ht="13">
      <c r="H365" s="226"/>
    </row>
    <row r="366" spans="8:8" ht="13">
      <c r="H366" s="226"/>
    </row>
    <row r="367" spans="8:8" ht="13">
      <c r="H367" s="226"/>
    </row>
    <row r="368" spans="8:8" ht="13">
      <c r="H368" s="226"/>
    </row>
    <row r="369" spans="8:8" ht="13">
      <c r="H369" s="226"/>
    </row>
    <row r="370" spans="8:8" ht="13">
      <c r="H370" s="226"/>
    </row>
    <row r="371" spans="8:8" ht="13">
      <c r="H371" s="226"/>
    </row>
    <row r="372" spans="8:8" ht="13">
      <c r="H372" s="226"/>
    </row>
    <row r="373" spans="8:8" ht="13">
      <c r="H373" s="226"/>
    </row>
    <row r="374" spans="8:8" ht="13">
      <c r="H374" s="226"/>
    </row>
    <row r="375" spans="8:8" ht="13">
      <c r="H375" s="226"/>
    </row>
    <row r="376" spans="8:8" ht="13">
      <c r="H376" s="226"/>
    </row>
    <row r="377" spans="8:8" ht="13">
      <c r="H377" s="226"/>
    </row>
    <row r="378" spans="8:8" ht="13">
      <c r="H378" s="226"/>
    </row>
    <row r="379" spans="8:8" ht="13">
      <c r="H379" s="226"/>
    </row>
    <row r="380" spans="8:8" ht="13">
      <c r="H380" s="226"/>
    </row>
    <row r="381" spans="8:8" ht="13">
      <c r="H381" s="226"/>
    </row>
    <row r="382" spans="8:8" ht="13">
      <c r="H382" s="226"/>
    </row>
    <row r="383" spans="8:8" ht="13">
      <c r="H383" s="226"/>
    </row>
    <row r="384" spans="8:8" ht="13">
      <c r="H384" s="226"/>
    </row>
    <row r="385" spans="8:8" ht="13">
      <c r="H385" s="226"/>
    </row>
    <row r="386" spans="8:8" ht="13">
      <c r="H386" s="226"/>
    </row>
    <row r="387" spans="8:8" ht="13">
      <c r="H387" s="226"/>
    </row>
    <row r="388" spans="8:8" ht="13">
      <c r="H388" s="226"/>
    </row>
    <row r="389" spans="8:8" ht="13">
      <c r="H389" s="226"/>
    </row>
    <row r="390" spans="8:8" ht="13">
      <c r="H390" s="226"/>
    </row>
    <row r="391" spans="8:8" ht="13">
      <c r="H391" s="226"/>
    </row>
    <row r="392" spans="8:8" ht="13">
      <c r="H392" s="226"/>
    </row>
    <row r="393" spans="8:8" ht="13">
      <c r="H393" s="226"/>
    </row>
    <row r="394" spans="8:8" ht="13">
      <c r="H394" s="226"/>
    </row>
    <row r="395" spans="8:8" ht="13">
      <c r="H395" s="226"/>
    </row>
    <row r="396" spans="8:8" ht="13">
      <c r="H396" s="226"/>
    </row>
    <row r="397" spans="8:8" ht="13">
      <c r="H397" s="226"/>
    </row>
    <row r="398" spans="8:8" ht="13">
      <c r="H398" s="226"/>
    </row>
    <row r="399" spans="8:8" ht="13">
      <c r="H399" s="226"/>
    </row>
    <row r="400" spans="8:8" ht="13">
      <c r="H400" s="226"/>
    </row>
    <row r="401" spans="8:8" ht="13">
      <c r="H401" s="226"/>
    </row>
    <row r="402" spans="8:8" ht="13">
      <c r="H402" s="226"/>
    </row>
    <row r="403" spans="8:8" ht="13">
      <c r="H403" s="226"/>
    </row>
    <row r="404" spans="8:8" ht="13">
      <c r="H404" s="226"/>
    </row>
    <row r="405" spans="8:8" ht="13">
      <c r="H405" s="226"/>
    </row>
    <row r="406" spans="8:8" ht="13">
      <c r="H406" s="226"/>
    </row>
    <row r="407" spans="8:8" ht="13">
      <c r="H407" s="226"/>
    </row>
    <row r="408" spans="8:8" ht="13">
      <c r="H408" s="226"/>
    </row>
    <row r="409" spans="8:8" ht="13">
      <c r="H409" s="226"/>
    </row>
    <row r="410" spans="8:8" ht="13">
      <c r="H410" s="226"/>
    </row>
    <row r="411" spans="8:8" ht="13">
      <c r="H411" s="226"/>
    </row>
    <row r="412" spans="8:8" ht="13">
      <c r="H412" s="226"/>
    </row>
    <row r="413" spans="8:8" ht="13">
      <c r="H413" s="226"/>
    </row>
    <row r="414" spans="8:8" ht="13">
      <c r="H414" s="226"/>
    </row>
    <row r="415" spans="8:8" ht="13">
      <c r="H415" s="226"/>
    </row>
    <row r="416" spans="8:8" ht="13">
      <c r="H416" s="226"/>
    </row>
    <row r="417" spans="8:8" ht="13">
      <c r="H417" s="226"/>
    </row>
    <row r="418" spans="8:8" ht="13">
      <c r="H418" s="226"/>
    </row>
    <row r="419" spans="8:8" ht="13">
      <c r="H419" s="226"/>
    </row>
    <row r="420" spans="8:8" ht="13">
      <c r="H420" s="226"/>
    </row>
    <row r="421" spans="8:8" ht="13">
      <c r="H421" s="226"/>
    </row>
    <row r="422" spans="8:8" ht="13">
      <c r="H422" s="226"/>
    </row>
    <row r="423" spans="8:8" ht="13">
      <c r="H423" s="226"/>
    </row>
    <row r="424" spans="8:8" ht="13">
      <c r="H424" s="226"/>
    </row>
    <row r="425" spans="8:8" ht="13">
      <c r="H425" s="226"/>
    </row>
    <row r="426" spans="8:8" ht="13">
      <c r="H426" s="226"/>
    </row>
    <row r="427" spans="8:8" ht="13">
      <c r="H427" s="226"/>
    </row>
    <row r="428" spans="8:8" ht="13">
      <c r="H428" s="226"/>
    </row>
    <row r="429" spans="8:8" ht="13">
      <c r="H429" s="226"/>
    </row>
    <row r="430" spans="8:8" ht="13">
      <c r="H430" s="226"/>
    </row>
    <row r="431" spans="8:8" ht="13">
      <c r="H431" s="226"/>
    </row>
    <row r="432" spans="8:8" ht="13">
      <c r="H432" s="226"/>
    </row>
    <row r="433" spans="8:8" ht="13">
      <c r="H433" s="226"/>
    </row>
    <row r="434" spans="8:8" ht="13">
      <c r="H434" s="226"/>
    </row>
    <row r="435" spans="8:8" ht="13">
      <c r="H435" s="226"/>
    </row>
    <row r="436" spans="8:8" ht="13">
      <c r="H436" s="226"/>
    </row>
    <row r="437" spans="8:8" ht="13">
      <c r="H437" s="226"/>
    </row>
    <row r="438" spans="8:8" ht="13">
      <c r="H438" s="226"/>
    </row>
    <row r="439" spans="8:8" ht="13">
      <c r="H439" s="226"/>
    </row>
    <row r="440" spans="8:8" ht="13">
      <c r="H440" s="226"/>
    </row>
    <row r="441" spans="8:8" ht="13">
      <c r="H441" s="226"/>
    </row>
    <row r="442" spans="8:8" ht="13">
      <c r="H442" s="226"/>
    </row>
    <row r="443" spans="8:8" ht="13">
      <c r="H443" s="226"/>
    </row>
    <row r="444" spans="8:8" ht="13">
      <c r="H444" s="226"/>
    </row>
    <row r="445" spans="8:8" ht="13">
      <c r="H445" s="226"/>
    </row>
    <row r="446" spans="8:8" ht="13">
      <c r="H446" s="226"/>
    </row>
    <row r="447" spans="8:8" ht="13">
      <c r="H447" s="226"/>
    </row>
    <row r="448" spans="8:8" ht="13">
      <c r="H448" s="226"/>
    </row>
    <row r="449" spans="8:8" ht="13">
      <c r="H449" s="226"/>
    </row>
    <row r="450" spans="8:8" ht="13">
      <c r="H450" s="226"/>
    </row>
    <row r="451" spans="8:8" ht="13">
      <c r="H451" s="226"/>
    </row>
    <row r="452" spans="8:8" ht="13">
      <c r="H452" s="226"/>
    </row>
    <row r="453" spans="8:8" ht="13">
      <c r="H453" s="226"/>
    </row>
    <row r="454" spans="8:8" ht="13">
      <c r="H454" s="226"/>
    </row>
    <row r="455" spans="8:8" ht="13">
      <c r="H455" s="226"/>
    </row>
    <row r="456" spans="8:8" ht="13">
      <c r="H456" s="226"/>
    </row>
    <row r="457" spans="8:8" ht="13">
      <c r="H457" s="226"/>
    </row>
    <row r="458" spans="8:8" ht="13">
      <c r="H458" s="226"/>
    </row>
    <row r="459" spans="8:8" ht="13">
      <c r="H459" s="226"/>
    </row>
    <row r="460" spans="8:8" ht="13">
      <c r="H460" s="226"/>
    </row>
    <row r="461" spans="8:8" ht="13">
      <c r="H461" s="226"/>
    </row>
    <row r="462" spans="8:8" ht="13">
      <c r="H462" s="226"/>
    </row>
    <row r="463" spans="8:8" ht="13">
      <c r="H463" s="226"/>
    </row>
    <row r="464" spans="8:8" ht="13">
      <c r="H464" s="226"/>
    </row>
    <row r="465" spans="8:8" ht="13">
      <c r="H465" s="226"/>
    </row>
    <row r="466" spans="8:8" ht="13">
      <c r="H466" s="226"/>
    </row>
    <row r="467" spans="8:8" ht="13">
      <c r="H467" s="226"/>
    </row>
    <row r="468" spans="8:8" ht="13">
      <c r="H468" s="226"/>
    </row>
    <row r="469" spans="8:8" ht="13">
      <c r="H469" s="226"/>
    </row>
    <row r="470" spans="8:8" ht="13">
      <c r="H470" s="226"/>
    </row>
    <row r="471" spans="8:8" ht="13">
      <c r="H471" s="226"/>
    </row>
    <row r="472" spans="8:8" ht="13">
      <c r="H472" s="226"/>
    </row>
    <row r="473" spans="8:8" ht="13">
      <c r="H473" s="226"/>
    </row>
    <row r="474" spans="8:8" ht="13">
      <c r="H474" s="226"/>
    </row>
    <row r="475" spans="8:8" ht="13">
      <c r="H475" s="226"/>
    </row>
    <row r="476" spans="8:8" ht="13">
      <c r="H476" s="226"/>
    </row>
    <row r="477" spans="8:8" ht="13">
      <c r="H477" s="226"/>
    </row>
    <row r="478" spans="8:8" ht="13">
      <c r="H478" s="226"/>
    </row>
    <row r="479" spans="8:8" ht="13">
      <c r="H479" s="226"/>
    </row>
    <row r="480" spans="8:8" ht="13">
      <c r="H480" s="226"/>
    </row>
    <row r="481" spans="8:8" ht="13">
      <c r="H481" s="226"/>
    </row>
    <row r="482" spans="8:8" ht="13">
      <c r="H482" s="226"/>
    </row>
    <row r="483" spans="8:8" ht="13">
      <c r="H483" s="226"/>
    </row>
    <row r="484" spans="8:8" ht="13">
      <c r="H484" s="226"/>
    </row>
    <row r="485" spans="8:8" ht="13">
      <c r="H485" s="226"/>
    </row>
    <row r="486" spans="8:8" ht="13">
      <c r="H486" s="226"/>
    </row>
    <row r="487" spans="8:8" ht="13">
      <c r="H487" s="226"/>
    </row>
    <row r="488" spans="8:8" ht="13">
      <c r="H488" s="226"/>
    </row>
    <row r="489" spans="8:8" ht="13">
      <c r="H489" s="226"/>
    </row>
    <row r="490" spans="8:8" ht="13">
      <c r="H490" s="226"/>
    </row>
    <row r="491" spans="8:8" ht="13">
      <c r="H491" s="226"/>
    </row>
    <row r="492" spans="8:8" ht="13">
      <c r="H492" s="226"/>
    </row>
    <row r="493" spans="8:8" ht="13">
      <c r="H493" s="226"/>
    </row>
    <row r="494" spans="8:8" ht="13">
      <c r="H494" s="226"/>
    </row>
    <row r="495" spans="8:8" ht="13">
      <c r="H495" s="226"/>
    </row>
    <row r="496" spans="8:8" ht="13">
      <c r="H496" s="226"/>
    </row>
    <row r="497" spans="8:8" ht="13">
      <c r="H497" s="226"/>
    </row>
    <row r="498" spans="8:8" ht="13">
      <c r="H498" s="226"/>
    </row>
    <row r="499" spans="8:8" ht="13">
      <c r="H499" s="226"/>
    </row>
    <row r="500" spans="8:8" ht="13">
      <c r="H500" s="226"/>
    </row>
    <row r="501" spans="8:8" ht="13">
      <c r="H501" s="226"/>
    </row>
    <row r="502" spans="8:8" ht="13">
      <c r="H502" s="226"/>
    </row>
    <row r="503" spans="8:8" ht="13">
      <c r="H503" s="226"/>
    </row>
    <row r="504" spans="8:8" ht="13">
      <c r="H504" s="226"/>
    </row>
    <row r="505" spans="8:8" ht="13">
      <c r="H505" s="226"/>
    </row>
    <row r="506" spans="8:8" ht="13">
      <c r="H506" s="226"/>
    </row>
    <row r="507" spans="8:8" ht="13">
      <c r="H507" s="226"/>
    </row>
    <row r="508" spans="8:8" ht="13">
      <c r="H508" s="226"/>
    </row>
    <row r="509" spans="8:8" ht="13">
      <c r="H509" s="226"/>
    </row>
    <row r="510" spans="8:8" ht="13">
      <c r="H510" s="226"/>
    </row>
    <row r="511" spans="8:8" ht="13">
      <c r="H511" s="226"/>
    </row>
    <row r="512" spans="8:8" ht="13">
      <c r="H512" s="226"/>
    </row>
    <row r="513" spans="8:8" ht="13">
      <c r="H513" s="226"/>
    </row>
    <row r="514" spans="8:8" ht="13">
      <c r="H514" s="226"/>
    </row>
    <row r="515" spans="8:8" ht="13">
      <c r="H515" s="226"/>
    </row>
    <row r="516" spans="8:8" ht="13">
      <c r="H516" s="226"/>
    </row>
    <row r="517" spans="8:8" ht="13">
      <c r="H517" s="226"/>
    </row>
    <row r="518" spans="8:8" ht="13">
      <c r="H518" s="226"/>
    </row>
    <row r="519" spans="8:8" ht="13">
      <c r="H519" s="226"/>
    </row>
    <row r="520" spans="8:8" ht="13">
      <c r="H520" s="226"/>
    </row>
    <row r="521" spans="8:8" ht="13">
      <c r="H521" s="226"/>
    </row>
    <row r="522" spans="8:8" ht="13">
      <c r="H522" s="226"/>
    </row>
    <row r="523" spans="8:8" ht="13">
      <c r="H523" s="226"/>
    </row>
    <row r="524" spans="8:8" ht="13">
      <c r="H524" s="226"/>
    </row>
    <row r="525" spans="8:8" ht="13">
      <c r="H525" s="226"/>
    </row>
    <row r="526" spans="8:8" ht="13">
      <c r="H526" s="226"/>
    </row>
    <row r="527" spans="8:8" ht="13">
      <c r="H527" s="226"/>
    </row>
    <row r="528" spans="8:8" ht="13">
      <c r="H528" s="226"/>
    </row>
    <row r="529" spans="8:8" ht="13">
      <c r="H529" s="226"/>
    </row>
    <row r="530" spans="8:8" ht="13">
      <c r="H530" s="226"/>
    </row>
    <row r="531" spans="8:8" ht="13">
      <c r="H531" s="226"/>
    </row>
    <row r="532" spans="8:8" ht="13">
      <c r="H532" s="226"/>
    </row>
    <row r="533" spans="8:8" ht="13">
      <c r="H533" s="226"/>
    </row>
    <row r="534" spans="8:8" ht="13">
      <c r="H534" s="226"/>
    </row>
    <row r="535" spans="8:8" ht="13">
      <c r="H535" s="226"/>
    </row>
    <row r="536" spans="8:8" ht="13">
      <c r="H536" s="226"/>
    </row>
    <row r="537" spans="8:8" ht="13">
      <c r="H537" s="226"/>
    </row>
    <row r="538" spans="8:8" ht="13">
      <c r="H538" s="226"/>
    </row>
    <row r="539" spans="8:8" ht="13">
      <c r="H539" s="226"/>
    </row>
    <row r="540" spans="8:8" ht="13">
      <c r="H540" s="226"/>
    </row>
    <row r="541" spans="8:8" ht="13">
      <c r="H541" s="226"/>
    </row>
    <row r="542" spans="8:8" ht="13">
      <c r="H542" s="226"/>
    </row>
    <row r="543" spans="8:8" ht="13">
      <c r="H543" s="226"/>
    </row>
    <row r="544" spans="8:8" ht="13">
      <c r="H544" s="226"/>
    </row>
    <row r="545" spans="8:8" ht="13">
      <c r="H545" s="226"/>
    </row>
    <row r="546" spans="8:8" ht="13">
      <c r="H546" s="226"/>
    </row>
    <row r="547" spans="8:8" ht="13">
      <c r="H547" s="226"/>
    </row>
    <row r="548" spans="8:8" ht="13">
      <c r="H548" s="226"/>
    </row>
    <row r="549" spans="8:8" ht="13">
      <c r="H549" s="226"/>
    </row>
    <row r="550" spans="8:8" ht="13">
      <c r="H550" s="226"/>
    </row>
    <row r="551" spans="8:8" ht="13">
      <c r="H551" s="226"/>
    </row>
    <row r="552" spans="8:8" ht="13">
      <c r="H552" s="226"/>
    </row>
    <row r="553" spans="8:8" ht="13">
      <c r="H553" s="226"/>
    </row>
    <row r="554" spans="8:8" ht="13">
      <c r="H554" s="226"/>
    </row>
    <row r="555" spans="8:8" ht="13">
      <c r="H555" s="226"/>
    </row>
    <row r="556" spans="8:8" ht="13">
      <c r="H556" s="226"/>
    </row>
    <row r="557" spans="8:8" ht="13">
      <c r="H557" s="226"/>
    </row>
    <row r="558" spans="8:8" ht="13">
      <c r="H558" s="226"/>
    </row>
    <row r="559" spans="8:8" ht="13">
      <c r="H559" s="226"/>
    </row>
    <row r="560" spans="8:8" ht="13">
      <c r="H560" s="226"/>
    </row>
    <row r="561" spans="8:8" ht="13">
      <c r="H561" s="226"/>
    </row>
    <row r="562" spans="8:8" ht="13">
      <c r="H562" s="226"/>
    </row>
    <row r="563" spans="8:8" ht="13">
      <c r="H563" s="226"/>
    </row>
    <row r="564" spans="8:8" ht="13">
      <c r="H564" s="226"/>
    </row>
    <row r="565" spans="8:8" ht="13">
      <c r="H565" s="226"/>
    </row>
    <row r="566" spans="8:8" ht="13">
      <c r="H566" s="226"/>
    </row>
    <row r="567" spans="8:8" ht="13">
      <c r="H567" s="226"/>
    </row>
    <row r="568" spans="8:8" ht="13">
      <c r="H568" s="226"/>
    </row>
    <row r="569" spans="8:8" ht="13">
      <c r="H569" s="226"/>
    </row>
    <row r="570" spans="8:8" ht="13">
      <c r="H570" s="226"/>
    </row>
    <row r="571" spans="8:8" ht="13">
      <c r="H571" s="226"/>
    </row>
    <row r="572" spans="8:8" ht="13">
      <c r="H572" s="226"/>
    </row>
    <row r="573" spans="8:8" ht="13">
      <c r="H573" s="226"/>
    </row>
    <row r="574" spans="8:8" ht="13">
      <c r="H574" s="226"/>
    </row>
    <row r="575" spans="8:8" ht="13">
      <c r="H575" s="226"/>
    </row>
    <row r="576" spans="8:8" ht="13">
      <c r="H576" s="226"/>
    </row>
    <row r="577" spans="8:8" ht="13">
      <c r="H577" s="226"/>
    </row>
    <row r="578" spans="8:8" ht="13">
      <c r="H578" s="226"/>
    </row>
    <row r="579" spans="8:8" ht="13">
      <c r="H579" s="226"/>
    </row>
    <row r="580" spans="8:8" ht="13">
      <c r="H580" s="226"/>
    </row>
    <row r="581" spans="8:8" ht="13">
      <c r="H581" s="226"/>
    </row>
    <row r="582" spans="8:8" ht="13">
      <c r="H582" s="226"/>
    </row>
    <row r="583" spans="8:8" ht="13">
      <c r="H583" s="226"/>
    </row>
    <row r="584" spans="8:8" ht="13">
      <c r="H584" s="226"/>
    </row>
    <row r="585" spans="8:8" ht="13">
      <c r="H585" s="226"/>
    </row>
    <row r="586" spans="8:8" ht="13">
      <c r="H586" s="226"/>
    </row>
    <row r="587" spans="8:8" ht="13">
      <c r="H587" s="226"/>
    </row>
    <row r="588" spans="8:8" ht="13">
      <c r="H588" s="226"/>
    </row>
    <row r="589" spans="8:8" ht="13">
      <c r="H589" s="226"/>
    </row>
    <row r="590" spans="8:8" ht="13">
      <c r="H590" s="226"/>
    </row>
    <row r="591" spans="8:8" ht="13">
      <c r="H591" s="226"/>
    </row>
    <row r="592" spans="8:8" ht="13">
      <c r="H592" s="226"/>
    </row>
    <row r="593" spans="8:8" ht="13">
      <c r="H593" s="226"/>
    </row>
    <row r="594" spans="8:8" ht="13">
      <c r="H594" s="226"/>
    </row>
    <row r="595" spans="8:8" ht="13">
      <c r="H595" s="226"/>
    </row>
    <row r="596" spans="8:8" ht="13">
      <c r="H596" s="226"/>
    </row>
    <row r="597" spans="8:8" ht="13">
      <c r="H597" s="226"/>
    </row>
    <row r="598" spans="8:8" ht="13">
      <c r="H598" s="226"/>
    </row>
    <row r="599" spans="8:8" ht="13">
      <c r="H599" s="226"/>
    </row>
    <row r="600" spans="8:8" ht="13">
      <c r="H600" s="226"/>
    </row>
    <row r="601" spans="8:8" ht="13">
      <c r="H601" s="226"/>
    </row>
    <row r="602" spans="8:8" ht="13">
      <c r="H602" s="226"/>
    </row>
    <row r="603" spans="8:8" ht="13">
      <c r="H603" s="226"/>
    </row>
    <row r="604" spans="8:8" ht="13">
      <c r="H604" s="226"/>
    </row>
    <row r="605" spans="8:8" ht="13">
      <c r="H605" s="226"/>
    </row>
    <row r="606" spans="8:8" ht="13">
      <c r="H606" s="226"/>
    </row>
    <row r="607" spans="8:8" ht="13">
      <c r="H607" s="226"/>
    </row>
    <row r="608" spans="8:8" ht="13">
      <c r="H608" s="226"/>
    </row>
    <row r="609" spans="8:8" ht="13">
      <c r="H609" s="226"/>
    </row>
    <row r="610" spans="8:8" ht="13">
      <c r="H610" s="226"/>
    </row>
    <row r="611" spans="8:8" ht="13">
      <c r="H611" s="226"/>
    </row>
    <row r="612" spans="8:8" ht="13">
      <c r="H612" s="226"/>
    </row>
    <row r="613" spans="8:8" ht="13">
      <c r="H613" s="226"/>
    </row>
    <row r="614" spans="8:8" ht="13">
      <c r="H614" s="226"/>
    </row>
    <row r="615" spans="8:8" ht="13">
      <c r="H615" s="226"/>
    </row>
    <row r="616" spans="8:8" ht="13">
      <c r="H616" s="226"/>
    </row>
    <row r="617" spans="8:8" ht="13">
      <c r="H617" s="226"/>
    </row>
    <row r="618" spans="8:8" ht="13">
      <c r="H618" s="226"/>
    </row>
    <row r="619" spans="8:8" ht="13">
      <c r="H619" s="226"/>
    </row>
    <row r="620" spans="8:8" ht="13">
      <c r="H620" s="226"/>
    </row>
    <row r="621" spans="8:8" ht="13">
      <c r="H621" s="226"/>
    </row>
    <row r="622" spans="8:8" ht="13">
      <c r="H622" s="226"/>
    </row>
    <row r="623" spans="8:8" ht="13">
      <c r="H623" s="226"/>
    </row>
    <row r="624" spans="8:8" ht="13">
      <c r="H624" s="226"/>
    </row>
    <row r="625" spans="8:8" ht="13">
      <c r="H625" s="226"/>
    </row>
    <row r="626" spans="8:8" ht="13">
      <c r="H626" s="226"/>
    </row>
    <row r="627" spans="8:8" ht="13">
      <c r="H627" s="226"/>
    </row>
    <row r="628" spans="8:8" ht="13">
      <c r="H628" s="226"/>
    </row>
    <row r="629" spans="8:8" ht="13">
      <c r="H629" s="226"/>
    </row>
    <row r="630" spans="8:8" ht="13">
      <c r="H630" s="226"/>
    </row>
    <row r="631" spans="8:8" ht="13">
      <c r="H631" s="226"/>
    </row>
    <row r="632" spans="8:8" ht="13">
      <c r="H632" s="226"/>
    </row>
    <row r="633" spans="8:8" ht="13">
      <c r="H633" s="226"/>
    </row>
    <row r="634" spans="8:8" ht="13">
      <c r="H634" s="226"/>
    </row>
    <row r="635" spans="8:8" ht="13">
      <c r="H635" s="226"/>
    </row>
    <row r="636" spans="8:8" ht="13">
      <c r="H636" s="226"/>
    </row>
    <row r="637" spans="8:8" ht="13">
      <c r="H637" s="226"/>
    </row>
    <row r="638" spans="8:8" ht="13">
      <c r="H638" s="226"/>
    </row>
    <row r="639" spans="8:8" ht="13">
      <c r="H639" s="226"/>
    </row>
    <row r="640" spans="8:8" ht="13">
      <c r="H640" s="226"/>
    </row>
    <row r="641" spans="8:8" ht="13">
      <c r="H641" s="226"/>
    </row>
    <row r="642" spans="8:8" ht="13">
      <c r="H642" s="226"/>
    </row>
    <row r="643" spans="8:8" ht="13">
      <c r="H643" s="226"/>
    </row>
    <row r="644" spans="8:8" ht="13">
      <c r="H644" s="226"/>
    </row>
    <row r="645" spans="8:8" ht="13">
      <c r="H645" s="226"/>
    </row>
    <row r="646" spans="8:8" ht="13">
      <c r="H646" s="226"/>
    </row>
    <row r="647" spans="8:8" ht="13">
      <c r="H647" s="226"/>
    </row>
    <row r="648" spans="8:8" ht="13">
      <c r="H648" s="226"/>
    </row>
    <row r="649" spans="8:8" ht="13">
      <c r="H649" s="226"/>
    </row>
    <row r="650" spans="8:8" ht="13">
      <c r="H650" s="226"/>
    </row>
    <row r="651" spans="8:8" ht="13">
      <c r="H651" s="226"/>
    </row>
    <row r="652" spans="8:8" ht="13">
      <c r="H652" s="226"/>
    </row>
    <row r="653" spans="8:8" ht="13">
      <c r="H653" s="226"/>
    </row>
    <row r="654" spans="8:8" ht="13">
      <c r="H654" s="226"/>
    </row>
    <row r="655" spans="8:8" ht="13">
      <c r="H655" s="226"/>
    </row>
    <row r="656" spans="8:8" ht="13">
      <c r="H656" s="226"/>
    </row>
    <row r="657" spans="8:8" ht="13">
      <c r="H657" s="226"/>
    </row>
    <row r="658" spans="8:8" ht="13">
      <c r="H658" s="226"/>
    </row>
    <row r="659" spans="8:8" ht="13">
      <c r="H659" s="226"/>
    </row>
    <row r="660" spans="8:8" ht="13">
      <c r="H660" s="226"/>
    </row>
    <row r="661" spans="8:8" ht="13">
      <c r="H661" s="226"/>
    </row>
    <row r="662" spans="8:8" ht="13">
      <c r="H662" s="226"/>
    </row>
    <row r="663" spans="8:8" ht="13">
      <c r="H663" s="226"/>
    </row>
    <row r="664" spans="8:8" ht="13">
      <c r="H664" s="226"/>
    </row>
    <row r="665" spans="8:8" ht="13">
      <c r="H665" s="226"/>
    </row>
    <row r="666" spans="8:8" ht="13">
      <c r="H666" s="226"/>
    </row>
    <row r="667" spans="8:8" ht="13">
      <c r="H667" s="226"/>
    </row>
    <row r="668" spans="8:8" ht="13">
      <c r="H668" s="226"/>
    </row>
    <row r="669" spans="8:8" ht="13">
      <c r="H669" s="226"/>
    </row>
    <row r="670" spans="8:8" ht="13">
      <c r="H670" s="226"/>
    </row>
    <row r="671" spans="8:8" ht="13">
      <c r="H671" s="226"/>
    </row>
    <row r="672" spans="8:8" ht="13">
      <c r="H672" s="226"/>
    </row>
    <row r="673" spans="8:8" ht="13">
      <c r="H673" s="226"/>
    </row>
    <row r="674" spans="8:8" ht="13">
      <c r="H674" s="226"/>
    </row>
    <row r="675" spans="8:8" ht="13">
      <c r="H675" s="226"/>
    </row>
    <row r="676" spans="8:8" ht="13">
      <c r="H676" s="226"/>
    </row>
    <row r="677" spans="8:8" ht="13">
      <c r="H677" s="226"/>
    </row>
    <row r="678" spans="8:8" ht="13">
      <c r="H678" s="226"/>
    </row>
    <row r="679" spans="8:8" ht="13">
      <c r="H679" s="226"/>
    </row>
    <row r="680" spans="8:8" ht="13">
      <c r="H680" s="226"/>
    </row>
    <row r="681" spans="8:8" ht="13">
      <c r="H681" s="226"/>
    </row>
    <row r="682" spans="8:8" ht="13">
      <c r="H682" s="226"/>
    </row>
    <row r="683" spans="8:8" ht="13">
      <c r="H683" s="226"/>
    </row>
    <row r="684" spans="8:8" ht="13">
      <c r="H684" s="226"/>
    </row>
    <row r="685" spans="8:8" ht="13">
      <c r="H685" s="226"/>
    </row>
    <row r="686" spans="8:8" ht="13">
      <c r="H686" s="226"/>
    </row>
    <row r="687" spans="8:8" ht="13">
      <c r="H687" s="226"/>
    </row>
    <row r="688" spans="8:8" ht="13">
      <c r="H688" s="226"/>
    </row>
    <row r="689" spans="8:8" ht="13">
      <c r="H689" s="226"/>
    </row>
    <row r="690" spans="8:8" ht="13">
      <c r="H690" s="226"/>
    </row>
    <row r="691" spans="8:8" ht="13">
      <c r="H691" s="226"/>
    </row>
    <row r="692" spans="8:8" ht="13">
      <c r="H692" s="226"/>
    </row>
    <row r="693" spans="8:8" ht="13">
      <c r="H693" s="226"/>
    </row>
    <row r="694" spans="8:8" ht="13">
      <c r="H694" s="226"/>
    </row>
    <row r="695" spans="8:8" ht="13">
      <c r="H695" s="226"/>
    </row>
    <row r="696" spans="8:8" ht="13">
      <c r="H696" s="226"/>
    </row>
    <row r="697" spans="8:8" ht="13">
      <c r="H697" s="226"/>
    </row>
    <row r="698" spans="8:8" ht="13">
      <c r="H698" s="226"/>
    </row>
    <row r="699" spans="8:8" ht="13">
      <c r="H699" s="226"/>
    </row>
    <row r="700" spans="8:8" ht="13">
      <c r="H700" s="226"/>
    </row>
    <row r="701" spans="8:8" ht="13">
      <c r="H701" s="226"/>
    </row>
    <row r="702" spans="8:8" ht="13">
      <c r="H702" s="226"/>
    </row>
    <row r="703" spans="8:8" ht="13">
      <c r="H703" s="226"/>
    </row>
    <row r="704" spans="8:8" ht="13">
      <c r="H704" s="226"/>
    </row>
    <row r="705" spans="8:8" ht="13">
      <c r="H705" s="226"/>
    </row>
    <row r="706" spans="8:8" ht="13">
      <c r="H706" s="226"/>
    </row>
    <row r="707" spans="8:8" ht="13">
      <c r="H707" s="226"/>
    </row>
    <row r="708" spans="8:8" ht="13">
      <c r="H708" s="226"/>
    </row>
    <row r="709" spans="8:8" ht="13">
      <c r="H709" s="226"/>
    </row>
    <row r="710" spans="8:8" ht="13">
      <c r="H710" s="226"/>
    </row>
    <row r="711" spans="8:8" ht="13">
      <c r="H711" s="226"/>
    </row>
    <row r="712" spans="8:8" ht="13">
      <c r="H712" s="226"/>
    </row>
    <row r="713" spans="8:8" ht="13">
      <c r="H713" s="226"/>
    </row>
    <row r="714" spans="8:8" ht="13">
      <c r="H714" s="226"/>
    </row>
    <row r="715" spans="8:8" ht="13">
      <c r="H715" s="226"/>
    </row>
    <row r="716" spans="8:8" ht="13">
      <c r="H716" s="226"/>
    </row>
    <row r="717" spans="8:8" ht="13">
      <c r="H717" s="226"/>
    </row>
    <row r="718" spans="8:8" ht="13">
      <c r="H718" s="226"/>
    </row>
    <row r="719" spans="8:8" ht="13">
      <c r="H719" s="226"/>
    </row>
    <row r="720" spans="8:8" ht="13">
      <c r="H720" s="226"/>
    </row>
    <row r="721" spans="8:8" ht="13">
      <c r="H721" s="226"/>
    </row>
    <row r="722" spans="8:8" ht="13">
      <c r="H722" s="226"/>
    </row>
    <row r="723" spans="8:8" ht="13">
      <c r="H723" s="226"/>
    </row>
    <row r="724" spans="8:8" ht="13">
      <c r="H724" s="226"/>
    </row>
    <row r="725" spans="8:8" ht="13">
      <c r="H725" s="226"/>
    </row>
    <row r="726" spans="8:8" ht="13">
      <c r="H726" s="226"/>
    </row>
    <row r="727" spans="8:8" ht="13">
      <c r="H727" s="226"/>
    </row>
    <row r="728" spans="8:8" ht="13">
      <c r="H728" s="226"/>
    </row>
    <row r="729" spans="8:8" ht="13">
      <c r="H729" s="226"/>
    </row>
    <row r="730" spans="8:8" ht="13">
      <c r="H730" s="226"/>
    </row>
    <row r="731" spans="8:8" ht="13">
      <c r="H731" s="226"/>
    </row>
    <row r="732" spans="8:8" ht="13">
      <c r="H732" s="226"/>
    </row>
    <row r="733" spans="8:8" ht="13">
      <c r="H733" s="226"/>
    </row>
    <row r="734" spans="8:8" ht="13">
      <c r="H734" s="226"/>
    </row>
    <row r="735" spans="8:8" ht="13">
      <c r="H735" s="226"/>
    </row>
    <row r="736" spans="8:8" ht="13">
      <c r="H736" s="226"/>
    </row>
    <row r="737" spans="8:8" ht="13">
      <c r="H737" s="226"/>
    </row>
    <row r="738" spans="8:8" ht="13">
      <c r="H738" s="226"/>
    </row>
    <row r="739" spans="8:8" ht="13">
      <c r="H739" s="226"/>
    </row>
    <row r="740" spans="8:8" ht="13">
      <c r="H740" s="226"/>
    </row>
    <row r="741" spans="8:8" ht="13">
      <c r="H741" s="226"/>
    </row>
    <row r="742" spans="8:8" ht="13">
      <c r="H742" s="226"/>
    </row>
    <row r="743" spans="8:8" ht="13">
      <c r="H743" s="226"/>
    </row>
    <row r="744" spans="8:8" ht="13">
      <c r="H744" s="226"/>
    </row>
    <row r="745" spans="8:8" ht="13">
      <c r="H745" s="226"/>
    </row>
    <row r="746" spans="8:8" ht="13">
      <c r="H746" s="226"/>
    </row>
    <row r="747" spans="8:8" ht="13">
      <c r="H747" s="226"/>
    </row>
    <row r="748" spans="8:8" ht="13">
      <c r="H748" s="226"/>
    </row>
    <row r="749" spans="8:8" ht="13">
      <c r="H749" s="226"/>
    </row>
    <row r="750" spans="8:8" ht="13">
      <c r="H750" s="226"/>
    </row>
    <row r="751" spans="8:8" ht="13">
      <c r="H751" s="226"/>
    </row>
    <row r="752" spans="8:8" ht="13">
      <c r="H752" s="226"/>
    </row>
    <row r="753" spans="8:8" ht="13">
      <c r="H753" s="226"/>
    </row>
    <row r="754" spans="8:8" ht="13">
      <c r="H754" s="226"/>
    </row>
    <row r="755" spans="8:8" ht="13">
      <c r="H755" s="226"/>
    </row>
    <row r="756" spans="8:8" ht="13">
      <c r="H756" s="226"/>
    </row>
    <row r="757" spans="8:8" ht="13">
      <c r="H757" s="226"/>
    </row>
    <row r="758" spans="8:8" ht="13">
      <c r="H758" s="226"/>
    </row>
    <row r="759" spans="8:8" ht="13">
      <c r="H759" s="226"/>
    </row>
    <row r="760" spans="8:8" ht="13">
      <c r="H760" s="226"/>
    </row>
    <row r="761" spans="8:8" ht="13">
      <c r="H761" s="226"/>
    </row>
    <row r="762" spans="8:8" ht="13">
      <c r="H762" s="226"/>
    </row>
    <row r="763" spans="8:8" ht="13">
      <c r="H763" s="226"/>
    </row>
    <row r="764" spans="8:8" ht="13">
      <c r="H764" s="226"/>
    </row>
    <row r="765" spans="8:8" ht="13">
      <c r="H765" s="226"/>
    </row>
    <row r="766" spans="8:8" ht="13">
      <c r="H766" s="226"/>
    </row>
    <row r="767" spans="8:8" ht="13">
      <c r="H767" s="226"/>
    </row>
    <row r="768" spans="8:8" ht="13">
      <c r="H768" s="226"/>
    </row>
    <row r="769" spans="8:8" ht="13">
      <c r="H769" s="226"/>
    </row>
    <row r="770" spans="8:8" ht="13">
      <c r="H770" s="226"/>
    </row>
    <row r="771" spans="8:8" ht="13">
      <c r="H771" s="226"/>
    </row>
    <row r="772" spans="8:8" ht="13">
      <c r="H772" s="226"/>
    </row>
    <row r="773" spans="8:8" ht="13">
      <c r="H773" s="226"/>
    </row>
    <row r="774" spans="8:8" ht="13">
      <c r="H774" s="226"/>
    </row>
    <row r="775" spans="8:8" ht="13">
      <c r="H775" s="226"/>
    </row>
    <row r="776" spans="8:8" ht="13">
      <c r="H776" s="226"/>
    </row>
    <row r="777" spans="8:8" ht="13">
      <c r="H777" s="226"/>
    </row>
    <row r="778" spans="8:8" ht="13">
      <c r="H778" s="226"/>
    </row>
    <row r="779" spans="8:8" ht="13">
      <c r="H779" s="226"/>
    </row>
    <row r="780" spans="8:8" ht="13">
      <c r="H780" s="226"/>
    </row>
    <row r="781" spans="8:8" ht="13">
      <c r="H781" s="226"/>
    </row>
    <row r="782" spans="8:8" ht="13">
      <c r="H782" s="226"/>
    </row>
    <row r="783" spans="8:8" ht="13">
      <c r="H783" s="226"/>
    </row>
    <row r="784" spans="8:8" ht="13">
      <c r="H784" s="226"/>
    </row>
    <row r="785" spans="8:8" ht="13">
      <c r="H785" s="226"/>
    </row>
    <row r="786" spans="8:8" ht="13">
      <c r="H786" s="226"/>
    </row>
    <row r="787" spans="8:8" ht="13">
      <c r="H787" s="226"/>
    </row>
    <row r="788" spans="8:8" ht="13">
      <c r="H788" s="226"/>
    </row>
    <row r="789" spans="8:8" ht="13">
      <c r="H789" s="226"/>
    </row>
    <row r="790" spans="8:8" ht="13">
      <c r="H790" s="226"/>
    </row>
    <row r="791" spans="8:8" ht="13">
      <c r="H791" s="226"/>
    </row>
    <row r="792" spans="8:8" ht="13">
      <c r="H792" s="226"/>
    </row>
    <row r="793" spans="8:8" ht="13">
      <c r="H793" s="226"/>
    </row>
    <row r="794" spans="8:8" ht="13">
      <c r="H794" s="226"/>
    </row>
    <row r="795" spans="8:8" ht="13">
      <c r="H795" s="226"/>
    </row>
    <row r="796" spans="8:8" ht="13">
      <c r="H796" s="226"/>
    </row>
    <row r="797" spans="8:8" ht="13">
      <c r="H797" s="226"/>
    </row>
    <row r="798" spans="8:8" ht="13">
      <c r="H798" s="226"/>
    </row>
    <row r="799" spans="8:8" ht="13">
      <c r="H799" s="226"/>
    </row>
    <row r="800" spans="8:8" ht="13">
      <c r="H800" s="226"/>
    </row>
    <row r="801" spans="8:8" ht="13">
      <c r="H801" s="226"/>
    </row>
    <row r="802" spans="8:8" ht="13">
      <c r="H802" s="226"/>
    </row>
    <row r="803" spans="8:8" ht="13">
      <c r="H803" s="226"/>
    </row>
    <row r="804" spans="8:8" ht="13">
      <c r="H804" s="226"/>
    </row>
    <row r="805" spans="8:8" ht="13">
      <c r="H805" s="226"/>
    </row>
    <row r="806" spans="8:8" ht="13">
      <c r="H806" s="226"/>
    </row>
    <row r="807" spans="8:8" ht="13">
      <c r="H807" s="226"/>
    </row>
    <row r="808" spans="8:8" ht="13">
      <c r="H808" s="226"/>
    </row>
    <row r="809" spans="8:8" ht="13">
      <c r="H809" s="226"/>
    </row>
    <row r="810" spans="8:8" ht="13">
      <c r="H810" s="226"/>
    </row>
    <row r="811" spans="8:8" ht="13">
      <c r="H811" s="226"/>
    </row>
    <row r="812" spans="8:8" ht="13">
      <c r="H812" s="226"/>
    </row>
    <row r="813" spans="8:8" ht="13">
      <c r="H813" s="226"/>
    </row>
    <row r="814" spans="8:8" ht="13">
      <c r="H814" s="226"/>
    </row>
    <row r="815" spans="8:8" ht="13">
      <c r="H815" s="226"/>
    </row>
    <row r="816" spans="8:8" ht="13">
      <c r="H816" s="226"/>
    </row>
    <row r="817" spans="8:8" ht="13">
      <c r="H817" s="226"/>
    </row>
    <row r="818" spans="8:8" ht="13">
      <c r="H818" s="226"/>
    </row>
    <row r="819" spans="8:8" ht="13">
      <c r="H819" s="226"/>
    </row>
    <row r="820" spans="8:8" ht="13">
      <c r="H820" s="226"/>
    </row>
    <row r="821" spans="8:8" ht="13">
      <c r="H821" s="226"/>
    </row>
    <row r="822" spans="8:8" ht="13">
      <c r="H822" s="226"/>
    </row>
    <row r="823" spans="8:8" ht="13">
      <c r="H823" s="226"/>
    </row>
    <row r="824" spans="8:8" ht="13">
      <c r="H824" s="226"/>
    </row>
    <row r="825" spans="8:8" ht="13">
      <c r="H825" s="226"/>
    </row>
    <row r="826" spans="8:8" ht="13">
      <c r="H826" s="226"/>
    </row>
    <row r="827" spans="8:8" ht="13">
      <c r="H827" s="226"/>
    </row>
    <row r="828" spans="8:8" ht="13">
      <c r="H828" s="226"/>
    </row>
    <row r="829" spans="8:8" ht="13">
      <c r="H829" s="226"/>
    </row>
    <row r="830" spans="8:8" ht="13">
      <c r="H830" s="226"/>
    </row>
    <row r="831" spans="8:8" ht="13">
      <c r="H831" s="226"/>
    </row>
    <row r="832" spans="8:8" ht="13">
      <c r="H832" s="226"/>
    </row>
    <row r="833" spans="8:8" ht="13">
      <c r="H833" s="226"/>
    </row>
    <row r="834" spans="8:8" ht="13">
      <c r="H834" s="226"/>
    </row>
    <row r="835" spans="8:8" ht="13">
      <c r="H835" s="226"/>
    </row>
    <row r="836" spans="8:8" ht="13">
      <c r="H836" s="226"/>
    </row>
    <row r="837" spans="8:8" ht="13">
      <c r="H837" s="226"/>
    </row>
    <row r="838" spans="8:8" ht="13">
      <c r="H838" s="226"/>
    </row>
    <row r="839" spans="8:8" ht="13">
      <c r="H839" s="226"/>
    </row>
    <row r="840" spans="8:8" ht="13">
      <c r="H840" s="226"/>
    </row>
    <row r="841" spans="8:8" ht="13">
      <c r="H841" s="226"/>
    </row>
    <row r="842" spans="8:8" ht="13">
      <c r="H842" s="226"/>
    </row>
    <row r="843" spans="8:8" ht="13">
      <c r="H843" s="226"/>
    </row>
    <row r="844" spans="8:8" ht="13">
      <c r="H844" s="226"/>
    </row>
    <row r="845" spans="8:8" ht="13">
      <c r="H845" s="226"/>
    </row>
    <row r="846" spans="8:8" ht="13">
      <c r="H846" s="226"/>
    </row>
    <row r="847" spans="8:8" ht="13">
      <c r="H847" s="226"/>
    </row>
    <row r="848" spans="8:8" ht="13">
      <c r="H848" s="226"/>
    </row>
    <row r="849" spans="8:8" ht="13">
      <c r="H849" s="226"/>
    </row>
    <row r="850" spans="8:8" ht="13">
      <c r="H850" s="226"/>
    </row>
    <row r="851" spans="8:8" ht="13">
      <c r="H851" s="226"/>
    </row>
    <row r="852" spans="8:8" ht="13">
      <c r="H852" s="226"/>
    </row>
    <row r="853" spans="8:8" ht="13">
      <c r="H853" s="226"/>
    </row>
    <row r="854" spans="8:8" ht="13">
      <c r="H854" s="226"/>
    </row>
    <row r="855" spans="8:8" ht="13">
      <c r="H855" s="226"/>
    </row>
    <row r="856" spans="8:8" ht="13">
      <c r="H856" s="226"/>
    </row>
    <row r="857" spans="8:8" ht="13">
      <c r="H857" s="226"/>
    </row>
    <row r="858" spans="8:8" ht="13">
      <c r="H858" s="226"/>
    </row>
    <row r="859" spans="8:8" ht="13">
      <c r="H859" s="226"/>
    </row>
    <row r="860" spans="8:8" ht="13">
      <c r="H860" s="226"/>
    </row>
    <row r="861" spans="8:8" ht="13">
      <c r="H861" s="226"/>
    </row>
    <row r="862" spans="8:8" ht="13">
      <c r="H862" s="226"/>
    </row>
    <row r="863" spans="8:8" ht="13">
      <c r="H863" s="226"/>
    </row>
    <row r="864" spans="8:8" ht="13">
      <c r="H864" s="226"/>
    </row>
    <row r="865" spans="8:8" ht="13">
      <c r="H865" s="226"/>
    </row>
    <row r="866" spans="8:8" ht="13">
      <c r="H866" s="226"/>
    </row>
    <row r="867" spans="8:8" ht="13">
      <c r="H867" s="226"/>
    </row>
    <row r="868" spans="8:8" ht="13">
      <c r="H868" s="226"/>
    </row>
    <row r="869" spans="8:8" ht="13">
      <c r="H869" s="226"/>
    </row>
    <row r="870" spans="8:8" ht="13">
      <c r="H870" s="226"/>
    </row>
    <row r="871" spans="8:8" ht="13">
      <c r="H871" s="226"/>
    </row>
    <row r="872" spans="8:8" ht="13">
      <c r="H872" s="226"/>
    </row>
    <row r="873" spans="8:8" ht="13">
      <c r="H873" s="226"/>
    </row>
    <row r="874" spans="8:8" ht="13">
      <c r="H874" s="226"/>
    </row>
    <row r="875" spans="8:8" ht="13">
      <c r="H875" s="226"/>
    </row>
    <row r="876" spans="8:8" ht="13">
      <c r="H876" s="226"/>
    </row>
    <row r="877" spans="8:8" ht="13">
      <c r="H877" s="226"/>
    </row>
    <row r="878" spans="8:8" ht="13">
      <c r="H878" s="226"/>
    </row>
    <row r="879" spans="8:8" ht="13">
      <c r="H879" s="226"/>
    </row>
    <row r="880" spans="8:8" ht="13">
      <c r="H880" s="226"/>
    </row>
    <row r="881" spans="8:8" ht="13">
      <c r="H881" s="226"/>
    </row>
    <row r="882" spans="8:8" ht="13">
      <c r="H882" s="226"/>
    </row>
    <row r="883" spans="8:8" ht="13">
      <c r="H883" s="226"/>
    </row>
    <row r="884" spans="8:8" ht="13">
      <c r="H884" s="226"/>
    </row>
    <row r="885" spans="8:8" ht="13">
      <c r="H885" s="226"/>
    </row>
    <row r="886" spans="8:8" ht="13">
      <c r="H886" s="226"/>
    </row>
    <row r="887" spans="8:8" ht="13">
      <c r="H887" s="226"/>
    </row>
    <row r="888" spans="8:8" ht="13">
      <c r="H888" s="226"/>
    </row>
    <row r="889" spans="8:8" ht="13">
      <c r="H889" s="226"/>
    </row>
    <row r="890" spans="8:8" ht="13">
      <c r="H890" s="226"/>
    </row>
    <row r="891" spans="8:8" ht="13">
      <c r="H891" s="226"/>
    </row>
    <row r="892" spans="8:8" ht="13">
      <c r="H892" s="226"/>
    </row>
    <row r="893" spans="8:8" ht="13">
      <c r="H893" s="226"/>
    </row>
    <row r="894" spans="8:8" ht="13">
      <c r="H894" s="226"/>
    </row>
    <row r="895" spans="8:8" ht="13">
      <c r="H895" s="226"/>
    </row>
    <row r="896" spans="8:8" ht="13">
      <c r="H896" s="226"/>
    </row>
    <row r="897" spans="8:8" ht="13">
      <c r="H897" s="226"/>
    </row>
    <row r="898" spans="8:8" ht="13">
      <c r="H898" s="226"/>
    </row>
    <row r="899" spans="8:8" ht="13">
      <c r="H899" s="226"/>
    </row>
    <row r="900" spans="8:8" ht="13">
      <c r="H900" s="226"/>
    </row>
    <row r="901" spans="8:8" ht="13">
      <c r="H901" s="226"/>
    </row>
    <row r="902" spans="8:8" ht="13">
      <c r="H902" s="226"/>
    </row>
    <row r="903" spans="8:8" ht="13">
      <c r="H903" s="226"/>
    </row>
    <row r="904" spans="8:8" ht="13">
      <c r="H904" s="226"/>
    </row>
    <row r="905" spans="8:8" ht="13">
      <c r="H905" s="226"/>
    </row>
    <row r="906" spans="8:8" ht="13">
      <c r="H906" s="226"/>
    </row>
    <row r="907" spans="8:8" ht="13">
      <c r="H907" s="226"/>
    </row>
    <row r="908" spans="8:8" ht="13">
      <c r="H908" s="226"/>
    </row>
    <row r="909" spans="8:8" ht="13">
      <c r="H909" s="226"/>
    </row>
    <row r="910" spans="8:8" ht="13">
      <c r="H910" s="226"/>
    </row>
    <row r="911" spans="8:8" ht="13">
      <c r="H911" s="226"/>
    </row>
    <row r="912" spans="8:8" ht="13">
      <c r="H912" s="226"/>
    </row>
    <row r="913" spans="8:8" ht="13">
      <c r="H913" s="226"/>
    </row>
    <row r="914" spans="8:8" ht="13">
      <c r="H914" s="226"/>
    </row>
    <row r="915" spans="8:8" ht="13">
      <c r="H915" s="226"/>
    </row>
    <row r="916" spans="8:8" ht="13">
      <c r="H916" s="226"/>
    </row>
    <row r="917" spans="8:8" ht="13">
      <c r="H917" s="226"/>
    </row>
    <row r="918" spans="8:8" ht="13">
      <c r="H918" s="226"/>
    </row>
    <row r="919" spans="8:8" ht="13">
      <c r="H919" s="226"/>
    </row>
    <row r="920" spans="8:8" ht="13">
      <c r="H920" s="226"/>
    </row>
    <row r="921" spans="8:8" ht="13">
      <c r="H921" s="226"/>
    </row>
    <row r="922" spans="8:8" ht="13">
      <c r="H922" s="226"/>
    </row>
    <row r="923" spans="8:8" ht="13">
      <c r="H923" s="226"/>
    </row>
    <row r="924" spans="8:8" ht="13">
      <c r="H924" s="226"/>
    </row>
    <row r="925" spans="8:8" ht="13">
      <c r="H925" s="226"/>
    </row>
    <row r="926" spans="8:8" ht="13">
      <c r="H926" s="226"/>
    </row>
    <row r="927" spans="8:8" ht="13">
      <c r="H927" s="226"/>
    </row>
    <row r="928" spans="8:8" ht="13">
      <c r="H928" s="226"/>
    </row>
    <row r="929" spans="8:8" ht="13">
      <c r="H929" s="226"/>
    </row>
    <row r="930" spans="8:8" ht="13">
      <c r="H930" s="226"/>
    </row>
    <row r="931" spans="8:8" ht="13">
      <c r="H931" s="226"/>
    </row>
    <row r="932" spans="8:8" ht="13">
      <c r="H932" s="226"/>
    </row>
    <row r="933" spans="8:8" ht="13">
      <c r="H933" s="226"/>
    </row>
    <row r="934" spans="8:8" ht="13">
      <c r="H934" s="226"/>
    </row>
    <row r="935" spans="8:8" ht="13">
      <c r="H935" s="226"/>
    </row>
    <row r="936" spans="8:8" ht="13">
      <c r="H936" s="226"/>
    </row>
    <row r="937" spans="8:8" ht="13">
      <c r="H937" s="226"/>
    </row>
    <row r="938" spans="8:8" ht="13">
      <c r="H938" s="226"/>
    </row>
    <row r="939" spans="8:8" ht="13">
      <c r="H939" s="226"/>
    </row>
    <row r="940" spans="8:8" ht="13">
      <c r="H940" s="226"/>
    </row>
    <row r="941" spans="8:8" ht="13">
      <c r="H941" s="226"/>
    </row>
    <row r="942" spans="8:8" ht="13">
      <c r="H942" s="226"/>
    </row>
    <row r="943" spans="8:8" ht="13">
      <c r="H943" s="226"/>
    </row>
    <row r="944" spans="8:8" ht="13">
      <c r="H944" s="226"/>
    </row>
    <row r="945" spans="8:8" ht="13">
      <c r="H945" s="226"/>
    </row>
    <row r="946" spans="8:8" ht="13">
      <c r="H946" s="226"/>
    </row>
    <row r="947" spans="8:8" ht="13">
      <c r="H947" s="226"/>
    </row>
    <row r="948" spans="8:8" ht="13">
      <c r="H948" s="226"/>
    </row>
    <row r="949" spans="8:8" ht="13">
      <c r="H949" s="226"/>
    </row>
    <row r="950" spans="8:8" ht="13">
      <c r="H950" s="226"/>
    </row>
    <row r="951" spans="8:8" ht="13">
      <c r="H951" s="226"/>
    </row>
    <row r="952" spans="8:8" ht="13">
      <c r="H952" s="226"/>
    </row>
    <row r="953" spans="8:8" ht="13">
      <c r="H953" s="226"/>
    </row>
    <row r="954" spans="8:8" ht="13">
      <c r="H954" s="226"/>
    </row>
    <row r="955" spans="8:8" ht="13">
      <c r="H955" s="226"/>
    </row>
    <row r="956" spans="8:8" ht="13">
      <c r="H956" s="226"/>
    </row>
    <row r="957" spans="8:8" ht="13">
      <c r="H957" s="226"/>
    </row>
    <row r="958" spans="8:8" ht="13">
      <c r="H958" s="226"/>
    </row>
    <row r="959" spans="8:8" ht="13">
      <c r="H959" s="226"/>
    </row>
    <row r="960" spans="8:8" ht="13">
      <c r="H960" s="226"/>
    </row>
    <row r="961" spans="8:8" ht="13">
      <c r="H961" s="226"/>
    </row>
    <row r="962" spans="8:8" ht="13">
      <c r="H962" s="226"/>
    </row>
    <row r="963" spans="8:8" ht="13">
      <c r="H963" s="226"/>
    </row>
    <row r="964" spans="8:8" ht="13">
      <c r="H964" s="226"/>
    </row>
    <row r="965" spans="8:8" ht="13">
      <c r="H965" s="226"/>
    </row>
    <row r="966" spans="8:8" ht="13">
      <c r="H966" s="226"/>
    </row>
    <row r="967" spans="8:8" ht="13">
      <c r="H967" s="226"/>
    </row>
    <row r="968" spans="8:8" ht="13">
      <c r="H968" s="226"/>
    </row>
    <row r="969" spans="8:8" ht="13">
      <c r="H969" s="226"/>
    </row>
    <row r="970" spans="8:8" ht="13">
      <c r="H970" s="226"/>
    </row>
    <row r="971" spans="8:8" ht="13">
      <c r="H971" s="226"/>
    </row>
    <row r="972" spans="8:8" ht="13">
      <c r="H972" s="226"/>
    </row>
    <row r="973" spans="8:8" ht="13">
      <c r="H973" s="226"/>
    </row>
    <row r="974" spans="8:8" ht="13">
      <c r="H974" s="226"/>
    </row>
    <row r="975" spans="8:8" ht="13">
      <c r="H975" s="226"/>
    </row>
    <row r="976" spans="8:8" ht="13">
      <c r="H976" s="226"/>
    </row>
    <row r="977" spans="8:8" ht="13">
      <c r="H977" s="226"/>
    </row>
    <row r="978" spans="8:8" ht="13">
      <c r="H978" s="226"/>
    </row>
    <row r="979" spans="8:8" ht="13">
      <c r="H979" s="226"/>
    </row>
    <row r="980" spans="8:8" ht="13">
      <c r="H980" s="226"/>
    </row>
    <row r="981" spans="8:8" ht="13">
      <c r="H981" s="226"/>
    </row>
    <row r="982" spans="8:8" ht="13">
      <c r="H982" s="226"/>
    </row>
    <row r="983" spans="8:8" ht="13">
      <c r="H983" s="226"/>
    </row>
    <row r="984" spans="8:8" ht="13">
      <c r="H984" s="226"/>
    </row>
    <row r="985" spans="8:8" ht="13">
      <c r="H985" s="226"/>
    </row>
    <row r="986" spans="8:8" ht="13">
      <c r="H986" s="226"/>
    </row>
    <row r="987" spans="8:8" ht="13">
      <c r="H987" s="226"/>
    </row>
    <row r="988" spans="8:8" ht="13">
      <c r="H988" s="226"/>
    </row>
    <row r="989" spans="8:8" ht="13">
      <c r="H989" s="226"/>
    </row>
    <row r="990" spans="8:8" ht="13">
      <c r="H990" s="226"/>
    </row>
    <row r="991" spans="8:8" ht="13">
      <c r="H991" s="226"/>
    </row>
    <row r="992" spans="8:8" ht="13">
      <c r="H992" s="226"/>
    </row>
    <row r="993" spans="8:8" ht="13">
      <c r="H993" s="226"/>
    </row>
    <row r="994" spans="8:8" ht="13">
      <c r="H994" s="226"/>
    </row>
    <row r="995" spans="8:8" ht="13">
      <c r="H995" s="226"/>
    </row>
    <row r="996" spans="8:8" ht="13">
      <c r="H996" s="226"/>
    </row>
    <row r="997" spans="8:8" ht="13">
      <c r="H997" s="226"/>
    </row>
    <row r="998" spans="8:8" ht="13">
      <c r="H998" s="226"/>
    </row>
    <row r="999" spans="8:8" ht="13">
      <c r="H999" s="226"/>
    </row>
    <row r="1000" spans="8:8" ht="13">
      <c r="H1000" s="226"/>
    </row>
    <row r="1001" spans="8:8" ht="13">
      <c r="H1001" s="226"/>
    </row>
    <row r="1002" spans="8:8" ht="13">
      <c r="H1002" s="226"/>
    </row>
    <row r="1003" spans="8:8" ht="13">
      <c r="H1003" s="226"/>
    </row>
    <row r="1004" spans="8:8" ht="13">
      <c r="H1004" s="226"/>
    </row>
    <row r="1005" spans="8:8" ht="13">
      <c r="H1005" s="226"/>
    </row>
    <row r="1006" spans="8:8" ht="13">
      <c r="H1006" s="226"/>
    </row>
    <row r="1007" spans="8:8" ht="13">
      <c r="H1007" s="226"/>
    </row>
    <row r="1008" spans="8:8" ht="13">
      <c r="H1008" s="226"/>
    </row>
    <row r="1009" spans="8:8" ht="13">
      <c r="H1009" s="226"/>
    </row>
    <row r="1010" spans="8:8" ht="13">
      <c r="H1010" s="226"/>
    </row>
    <row r="1011" spans="8:8" ht="13">
      <c r="H1011" s="226"/>
    </row>
    <row r="1012" spans="8:8" ht="13">
      <c r="H1012" s="226"/>
    </row>
    <row r="1013" spans="8:8" ht="13">
      <c r="H1013" s="226"/>
    </row>
    <row r="1014" spans="8:8" ht="13">
      <c r="H1014" s="226"/>
    </row>
    <row r="1015" spans="8:8" ht="13">
      <c r="H1015" s="226"/>
    </row>
    <row r="1016" spans="8:8" ht="13">
      <c r="H1016" s="226"/>
    </row>
    <row r="1017" spans="8:8" ht="13">
      <c r="H1017" s="226"/>
    </row>
    <row r="1018" spans="8:8" ht="13">
      <c r="H1018" s="226"/>
    </row>
    <row r="1019" spans="8:8" ht="13">
      <c r="H1019" s="226"/>
    </row>
    <row r="1020" spans="8:8" ht="13">
      <c r="H1020" s="226"/>
    </row>
    <row r="1021" spans="8:8" ht="13">
      <c r="H1021" s="226"/>
    </row>
    <row r="1022" spans="8:8" ht="13">
      <c r="H1022" s="226"/>
    </row>
    <row r="1023" spans="8:8" ht="13">
      <c r="H1023" s="226"/>
    </row>
    <row r="1024" spans="8:8" ht="13">
      <c r="H1024" s="226"/>
    </row>
    <row r="1025" spans="8:8" ht="13">
      <c r="H1025" s="226"/>
    </row>
    <row r="1026" spans="8:8" ht="13">
      <c r="H1026" s="226"/>
    </row>
    <row r="1027" spans="8:8" ht="13">
      <c r="H1027" s="226"/>
    </row>
    <row r="1028" spans="8:8" ht="13">
      <c r="H1028" s="226"/>
    </row>
    <row r="1029" spans="8:8" ht="13">
      <c r="H1029" s="226"/>
    </row>
    <row r="1030" spans="8:8" ht="13">
      <c r="H1030" s="226"/>
    </row>
    <row r="1031" spans="8:8" ht="13">
      <c r="H1031" s="226"/>
    </row>
    <row r="1032" spans="8:8" ht="13">
      <c r="H1032" s="226"/>
    </row>
    <row r="1033" spans="8:8" ht="13">
      <c r="H1033" s="226"/>
    </row>
    <row r="1034" spans="8:8" ht="13">
      <c r="H1034" s="226"/>
    </row>
    <row r="1035" spans="8:8" ht="13">
      <c r="H1035" s="226"/>
    </row>
    <row r="1036" spans="8:8" ht="13">
      <c r="H1036" s="226"/>
    </row>
    <row r="1037" spans="8:8" ht="13">
      <c r="H1037" s="226"/>
    </row>
    <row r="1038" spans="8:8" ht="13">
      <c r="H1038" s="226"/>
    </row>
    <row r="1039" spans="8:8" ht="13">
      <c r="H1039" s="226"/>
    </row>
    <row r="1040" spans="8:8" ht="13">
      <c r="H1040" s="226"/>
    </row>
    <row r="1041" spans="8:8" ht="13">
      <c r="H1041" s="226"/>
    </row>
    <row r="1042" spans="8:8" ht="13">
      <c r="H1042" s="226"/>
    </row>
    <row r="1043" spans="8:8" ht="13">
      <c r="H1043" s="226"/>
    </row>
    <row r="1044" spans="8:8" ht="13">
      <c r="H1044" s="226"/>
    </row>
    <row r="1045" spans="8:8" ht="13">
      <c r="H1045" s="226"/>
    </row>
    <row r="1046" spans="8:8" ht="13">
      <c r="H1046" s="226"/>
    </row>
    <row r="1047" spans="8:8" ht="13">
      <c r="H1047" s="226"/>
    </row>
    <row r="1048" spans="8:8" ht="13">
      <c r="H1048" s="226"/>
    </row>
    <row r="1049" spans="8:8" ht="13">
      <c r="H1049" s="226"/>
    </row>
    <row r="1050" spans="8:8" ht="13">
      <c r="H1050" s="226"/>
    </row>
    <row r="1051" spans="8:8" ht="13">
      <c r="H1051" s="226"/>
    </row>
    <row r="1052" spans="8:8" ht="13">
      <c r="H1052" s="226"/>
    </row>
    <row r="1053" spans="8:8" ht="13">
      <c r="H1053" s="226"/>
    </row>
    <row r="1054" spans="8:8" ht="13">
      <c r="H1054" s="226"/>
    </row>
    <row r="1055" spans="8:8" ht="13">
      <c r="H1055" s="226"/>
    </row>
    <row r="1056" spans="8:8" ht="13">
      <c r="H1056" s="226"/>
    </row>
    <row r="1057" spans="8:8" ht="13">
      <c r="H1057" s="226"/>
    </row>
    <row r="1058" spans="8:8" ht="13">
      <c r="H1058" s="226"/>
    </row>
    <row r="1059" spans="8:8" ht="13">
      <c r="H1059" s="226"/>
    </row>
    <row r="1060" spans="8:8" ht="13">
      <c r="H1060" s="226"/>
    </row>
    <row r="1061" spans="8:8" ht="13">
      <c r="H1061" s="226"/>
    </row>
    <row r="1062" spans="8:8" ht="13">
      <c r="H1062" s="226"/>
    </row>
  </sheetData>
  <autoFilter ref="A1:U153" xr:uid="{00000000-0009-0000-0000-000004000000}">
    <filterColumn colId="8">
      <filters>
        <filter val="1"/>
        <filter val="0.5"/>
      </filters>
    </filterColumn>
  </autoFilter>
  <conditionalFormatting sqref="B1 B3:B1062">
    <cfRule type="cellIs" dxfId="336" priority="1" operator="between">
      <formula>50</formula>
      <formula>200</formula>
    </cfRule>
  </conditionalFormatting>
  <conditionalFormatting sqref="B1 B3:B1062">
    <cfRule type="cellIs" dxfId="335" priority="2" operator="between">
      <formula>201</formula>
      <formula>400</formula>
    </cfRule>
  </conditionalFormatting>
  <conditionalFormatting sqref="B3:B1057">
    <cfRule type="cellIs" dxfId="334" priority="3" operator="between">
      <formula>401</formula>
      <formula>650</formula>
    </cfRule>
  </conditionalFormatting>
  <conditionalFormatting sqref="B3:B1057">
    <cfRule type="cellIs" dxfId="333" priority="4" operator="between">
      <formula>651</formula>
      <formula>900</formula>
    </cfRule>
  </conditionalFormatting>
  <conditionalFormatting sqref="B3:B1057">
    <cfRule type="cellIs" dxfId="332" priority="5" operator="greaterThan">
      <formula>900</formula>
    </cfRule>
  </conditionalFormatting>
  <conditionalFormatting sqref="P3:P1057">
    <cfRule type="containsText" dxfId="331" priority="6" operator="containsText" text="yes">
      <formula>NOT(ISERROR(SEARCH(("yes"),(P3))))</formula>
    </cfRule>
  </conditionalFormatting>
  <conditionalFormatting sqref="F1:F1062">
    <cfRule type="colorScale" priority="7">
      <colorScale>
        <cfvo type="min"/>
        <cfvo type="formula" val="150"/>
        <color rgb="FFEAD1DC"/>
        <color rgb="FFA64D79"/>
      </colorScale>
    </cfRule>
  </conditionalFormatting>
  <conditionalFormatting sqref="D3:D81">
    <cfRule type="colorScale" priority="8">
      <colorScale>
        <cfvo type="formula" val="1.2"/>
        <cfvo type="formula" val="4"/>
        <color rgb="FF0B5394"/>
        <color rgb="FFFFFFFF"/>
      </colorScale>
    </cfRule>
  </conditionalFormatting>
  <conditionalFormatting sqref="E3:E81">
    <cfRule type="colorScale" priority="9">
      <colorScale>
        <cfvo type="formula" val="65"/>
        <cfvo type="formula" val="100"/>
        <color rgb="FFD9D2E9"/>
        <color rgb="FF674EA7"/>
      </colorScale>
    </cfRule>
  </conditionalFormatting>
  <conditionalFormatting sqref="D3:D81">
    <cfRule type="containsText" dxfId="330" priority="10" operator="containsText" text="1.2">
      <formula>NOT(ISERROR(SEARCH(("1.2"),(D3))))</formula>
    </cfRule>
  </conditionalFormatting>
  <conditionalFormatting sqref="D12">
    <cfRule type="notContainsBlanks" dxfId="329" priority="11">
      <formula>LEN(TRIM(D12))&gt;0</formula>
    </cfRule>
  </conditionalFormatting>
  <conditionalFormatting sqref="D3:D81">
    <cfRule type="containsText" dxfId="328" priority="12" operator="containsText" text="1.4">
      <formula>NOT(ISERROR(SEARCH(("1.4"),(D3))))</formula>
    </cfRule>
  </conditionalFormatting>
  <conditionalFormatting sqref="D3:D100">
    <cfRule type="containsText" dxfId="327" priority="13" operator="containsText" text="1.8">
      <formula>NOT(ISERROR(SEARCH(("1.8"),(D3))))</formula>
    </cfRule>
  </conditionalFormatting>
  <conditionalFormatting sqref="C3:C81">
    <cfRule type="colorScale" priority="14">
      <colorScale>
        <cfvo type="formula" val="10"/>
        <cfvo type="formula" val="50"/>
        <cfvo type="formula" val="400"/>
        <color rgb="FFCFE2F3"/>
        <color rgb="FF709CE0"/>
        <color rgb="FF1155CC"/>
      </colorScale>
    </cfRule>
  </conditionalFormatting>
  <dataValidations count="1">
    <dataValidation type="list" allowBlank="1" sqref="S3:S81" xr:uid="{00000000-0002-0000-0400-000000000000}">
      <formula1>"Sony,Voigtlander,Zeiss,Sigma,Samyang,Viltrox,Tokina,Tamron"</formula1>
    </dataValidation>
  </dataValidations>
  <hyperlinks>
    <hyperlink ref="K1" r:id="rId1" xr:uid="{00000000-0004-0000-0400-000000000000}"/>
    <hyperlink ref="M1" r:id="rId2" xr:uid="{00000000-0004-0000-0400-000001000000}"/>
    <hyperlink ref="N1" r:id="rId3"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outlinePr summaryBelow="0" summaryRight="0"/>
  </sheetPr>
  <dimension ref="A1:V105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6.83203125" customWidth="1"/>
    <col min="2" max="2" width="6.5" customWidth="1"/>
    <col min="3" max="3" width="11" customWidth="1"/>
    <col min="4" max="4" width="8" customWidth="1"/>
    <col min="5" max="6" width="7.33203125" customWidth="1"/>
    <col min="7" max="7" width="4" customWidth="1"/>
    <col min="8" max="8" width="7.1640625" customWidth="1"/>
    <col min="9" max="9" width="4.5" customWidth="1"/>
    <col min="10" max="10" width="7.6640625" customWidth="1"/>
    <col min="11" max="14" width="4" customWidth="1"/>
    <col min="15" max="15" width="7.5" customWidth="1"/>
    <col min="16" max="16" width="5.5" customWidth="1"/>
    <col min="17" max="17" width="5" customWidth="1"/>
    <col min="18" max="18" width="6.1640625" customWidth="1"/>
    <col min="19" max="19" width="13.33203125" customWidth="1"/>
    <col min="20" max="20" width="5.83203125" customWidth="1"/>
  </cols>
  <sheetData>
    <row r="1" spans="1:22" ht="76.5" customHeight="1">
      <c r="A1" s="330" t="s">
        <v>0</v>
      </c>
      <c r="B1" s="3" t="s">
        <v>1</v>
      </c>
      <c r="C1" s="3" t="s">
        <v>223</v>
      </c>
      <c r="D1" s="4" t="s">
        <v>3</v>
      </c>
      <c r="E1" s="5" t="s">
        <v>4</v>
      </c>
      <c r="F1" s="6" t="s">
        <v>5</v>
      </c>
      <c r="G1" s="7" t="s">
        <v>6</v>
      </c>
      <c r="H1" s="8" t="s">
        <v>7</v>
      </c>
      <c r="I1" s="3" t="s">
        <v>8</v>
      </c>
      <c r="J1" s="9" t="s">
        <v>17</v>
      </c>
      <c r="K1" s="10" t="s">
        <v>18</v>
      </c>
      <c r="L1" s="11" t="s">
        <v>19</v>
      </c>
      <c r="M1" s="10" t="s">
        <v>20</v>
      </c>
      <c r="N1" s="12" t="s">
        <v>21</v>
      </c>
      <c r="O1" s="3" t="s">
        <v>10</v>
      </c>
      <c r="P1" s="5" t="s">
        <v>11</v>
      </c>
      <c r="Q1" s="3" t="s">
        <v>12</v>
      </c>
      <c r="R1" s="3" t="s">
        <v>13</v>
      </c>
      <c r="S1" s="3" t="s">
        <v>14</v>
      </c>
      <c r="T1" s="3" t="s">
        <v>15</v>
      </c>
      <c r="U1" s="13" t="s">
        <v>225</v>
      </c>
    </row>
    <row r="2" spans="1:22" ht="18" customHeight="1">
      <c r="A2" s="14" t="s">
        <v>23</v>
      </c>
      <c r="B2" s="15"/>
      <c r="C2" s="15"/>
      <c r="D2" s="15"/>
      <c r="E2" s="15"/>
      <c r="F2" s="15"/>
      <c r="G2" s="16"/>
      <c r="H2" s="17"/>
      <c r="I2" s="15"/>
      <c r="J2" s="15"/>
      <c r="K2" s="15"/>
      <c r="L2" s="15"/>
      <c r="M2" s="15"/>
      <c r="N2" s="15"/>
      <c r="O2" s="15"/>
      <c r="P2" s="16"/>
      <c r="Q2" s="15"/>
      <c r="R2" s="16"/>
      <c r="S2" s="18"/>
      <c r="T2" s="16"/>
    </row>
    <row r="3" spans="1:22" ht="13" hidden="1">
      <c r="A3" s="196" t="str">
        <f t="array" ref="A3:V109">All!A3:M36</f>
        <v>Zuiko Fisheye 8mm f2.8</v>
      </c>
      <c r="B3" s="60">
        <v>640</v>
      </c>
      <c r="C3" s="67">
        <v>8</v>
      </c>
      <c r="D3" s="64">
        <v>2.8</v>
      </c>
      <c r="E3" s="245">
        <v>102</v>
      </c>
      <c r="F3" s="322">
        <v>83</v>
      </c>
      <c r="G3" s="119" t="str">
        <v>na</v>
      </c>
      <c r="H3" s="72">
        <v>6.7000000000000004E-2</v>
      </c>
      <c r="I3" s="74">
        <v>20</v>
      </c>
      <c r="J3" s="84">
        <v>6</v>
      </c>
      <c r="K3" s="331" t="str">
        <v>11/7</v>
      </c>
      <c r="L3" s="121" t="e">
        <v>#VALUE!</v>
      </c>
      <c r="M3" s="331">
        <v>0</v>
      </c>
      <c r="N3" s="121" t="e">
        <v>#N/A</v>
      </c>
      <c r="O3" s="88" t="e">
        <v>#N/A</v>
      </c>
      <c r="P3" s="70" t="e">
        <v>#N/A</v>
      </c>
      <c r="Q3" s="76" t="e">
        <v>#N/A</v>
      </c>
      <c r="R3" s="332" t="e">
        <v>#N/A</v>
      </c>
      <c r="S3" s="333" t="e">
        <v>#N/A</v>
      </c>
      <c r="T3" s="333" t="e">
        <v>#N/A</v>
      </c>
      <c r="U3" s="334" t="e">
        <v>#N/A</v>
      </c>
      <c r="V3" t="e">
        <v>#N/A</v>
      </c>
    </row>
    <row r="4" spans="1:22" ht="15" hidden="1">
      <c r="A4" s="335" t="str">
        <v>Zuiko Full Frame Fisheye 16mm f2.5</v>
      </c>
      <c r="B4" s="60">
        <v>180</v>
      </c>
      <c r="C4" s="67">
        <v>16</v>
      </c>
      <c r="D4" s="64">
        <v>3.5</v>
      </c>
      <c r="E4" s="65">
        <v>59</v>
      </c>
      <c r="F4" s="65">
        <v>31</v>
      </c>
      <c r="G4" s="70" t="str">
        <v>na</v>
      </c>
      <c r="H4" s="72">
        <v>0.14000000000000001</v>
      </c>
      <c r="I4" s="74">
        <v>20</v>
      </c>
      <c r="J4" s="84">
        <v>6</v>
      </c>
      <c r="K4" s="336" t="str">
        <v>11/8</v>
      </c>
      <c r="L4" s="113" t="e">
        <v>#VALUE!</v>
      </c>
      <c r="M4" s="336">
        <v>0</v>
      </c>
      <c r="N4" s="113" t="e">
        <v>#N/A</v>
      </c>
      <c r="O4" s="88" t="e">
        <v>#N/A</v>
      </c>
      <c r="P4" s="70" t="e">
        <v>#N/A</v>
      </c>
      <c r="Q4" s="76" t="e">
        <v>#N/A</v>
      </c>
      <c r="R4" s="332" t="e">
        <v>#N/A</v>
      </c>
      <c r="S4" s="333" t="e">
        <v>#N/A</v>
      </c>
      <c r="T4" s="333" t="e">
        <v>#N/A</v>
      </c>
      <c r="U4" s="334" t="e">
        <v>#N/A</v>
      </c>
      <c r="V4" t="e">
        <v>#N/A</v>
      </c>
    </row>
    <row r="5" spans="1:22" ht="13" hidden="1">
      <c r="A5" s="196" t="str">
        <v>Zuiko 18mm f3.5</v>
      </c>
      <c r="B5" s="60">
        <v>250</v>
      </c>
      <c r="C5" s="67">
        <v>18</v>
      </c>
      <c r="D5" s="64">
        <v>3.5</v>
      </c>
      <c r="E5" s="248">
        <v>75</v>
      </c>
      <c r="F5" s="324">
        <v>42</v>
      </c>
      <c r="G5" s="325">
        <v>49</v>
      </c>
      <c r="H5" s="72">
        <v>0</v>
      </c>
      <c r="I5" s="74">
        <v>25</v>
      </c>
      <c r="J5" s="84">
        <v>6</v>
      </c>
      <c r="K5" s="336" t="str">
        <v>11/9</v>
      </c>
      <c r="L5" s="113" t="e">
        <v>#VALUE!</v>
      </c>
      <c r="M5" s="336" t="str">
        <v>needs 49-72 step up ring for filters</v>
      </c>
      <c r="N5" s="113" t="e">
        <v>#N/A</v>
      </c>
      <c r="O5" s="88" t="e">
        <v>#N/A</v>
      </c>
      <c r="P5" s="70" t="e">
        <v>#N/A</v>
      </c>
      <c r="Q5" s="76" t="e">
        <v>#N/A</v>
      </c>
      <c r="R5" s="86" t="e">
        <v>#N/A</v>
      </c>
      <c r="S5" s="74" t="e">
        <v>#N/A</v>
      </c>
      <c r="T5" s="74" t="e">
        <v>#N/A</v>
      </c>
      <c r="U5" s="334" t="e">
        <v>#N/A</v>
      </c>
      <c r="V5" t="e">
        <v>#N/A</v>
      </c>
    </row>
    <row r="6" spans="1:22" ht="13">
      <c r="A6" s="323" t="str">
        <v>Zuiko 21mm f2</v>
      </c>
      <c r="B6" s="60">
        <v>250</v>
      </c>
      <c r="C6" s="67">
        <v>21</v>
      </c>
      <c r="D6" s="100">
        <v>2</v>
      </c>
      <c r="E6" s="101">
        <v>58</v>
      </c>
      <c r="F6" s="118">
        <v>44</v>
      </c>
      <c r="G6" s="74">
        <v>55</v>
      </c>
      <c r="H6" s="72">
        <v>0.1</v>
      </c>
      <c r="I6" s="74">
        <v>20</v>
      </c>
      <c r="J6" s="84">
        <v>6</v>
      </c>
      <c r="K6" s="336" t="str">
        <v>11/9</v>
      </c>
      <c r="L6" s="113" t="e">
        <v>#VALUE!</v>
      </c>
      <c r="M6" s="338">
        <v>0</v>
      </c>
      <c r="N6" s="113" t="e">
        <v>#N/A</v>
      </c>
      <c r="O6" s="88" t="e">
        <v>#N/A</v>
      </c>
      <c r="P6" s="70" t="e">
        <v>#N/A</v>
      </c>
      <c r="Q6" s="76" t="e">
        <v>#N/A</v>
      </c>
      <c r="R6" s="339" t="e">
        <v>#N/A</v>
      </c>
      <c r="S6" s="333" t="e">
        <v>#N/A</v>
      </c>
      <c r="T6" s="340" t="e">
        <v>#N/A</v>
      </c>
      <c r="U6" s="334" t="e">
        <v>#N/A</v>
      </c>
      <c r="V6" t="e">
        <v>#N/A</v>
      </c>
    </row>
    <row r="7" spans="1:22" ht="13" hidden="1">
      <c r="A7" s="326" t="str">
        <v>Zuiko 21mm f3.5</v>
      </c>
      <c r="B7" s="60">
        <v>185</v>
      </c>
      <c r="C7" s="67">
        <v>21</v>
      </c>
      <c r="D7" s="64">
        <v>3.5</v>
      </c>
      <c r="E7" s="65">
        <v>59</v>
      </c>
      <c r="F7" s="118">
        <v>31</v>
      </c>
      <c r="G7" s="74">
        <v>49</v>
      </c>
      <c r="H7" s="72">
        <v>0.14000000000000001</v>
      </c>
      <c r="I7" s="74">
        <v>20</v>
      </c>
      <c r="J7" s="84">
        <v>6</v>
      </c>
      <c r="K7" s="336" t="str">
        <v>7/7</v>
      </c>
      <c r="L7" s="113" t="e">
        <v>#VALUE!</v>
      </c>
      <c r="M7" s="113">
        <v>0</v>
      </c>
      <c r="N7" s="113" t="e">
        <v>#N/A</v>
      </c>
      <c r="O7" s="88" t="e">
        <v>#N/A</v>
      </c>
      <c r="P7" s="70" t="e">
        <v>#N/A</v>
      </c>
      <c r="Q7" s="76" t="e">
        <v>#N/A</v>
      </c>
      <c r="R7" s="341" t="e">
        <v>#N/A</v>
      </c>
      <c r="S7" s="333" t="e">
        <v>#N/A</v>
      </c>
      <c r="T7" s="74" t="e">
        <v>#N/A</v>
      </c>
      <c r="U7" s="334" t="e">
        <v>#N/A</v>
      </c>
      <c r="V7" t="e">
        <v>#N/A</v>
      </c>
    </row>
    <row r="8" spans="1:22" ht="13" hidden="1">
      <c r="A8" s="323" t="str">
        <v>Zuiko 24mm f2.0</v>
      </c>
      <c r="B8" s="60">
        <v>505</v>
      </c>
      <c r="C8" s="67">
        <v>24</v>
      </c>
      <c r="D8" s="64">
        <v>2</v>
      </c>
      <c r="E8" s="65">
        <v>59</v>
      </c>
      <c r="F8" s="65">
        <v>48</v>
      </c>
      <c r="G8" s="74">
        <v>55</v>
      </c>
      <c r="H8" s="72">
        <v>0.12</v>
      </c>
      <c r="I8" s="74">
        <v>25</v>
      </c>
      <c r="J8" s="84">
        <v>6</v>
      </c>
      <c r="K8" s="336" t="str">
        <v>10/8</v>
      </c>
      <c r="L8" s="113" t="e">
        <v>#VALUE!</v>
      </c>
      <c r="M8" s="338">
        <v>0</v>
      </c>
      <c r="N8" s="113" t="e">
        <v>#N/A</v>
      </c>
      <c r="O8" s="88" t="e">
        <v>#N/A</v>
      </c>
      <c r="P8" s="70" t="e">
        <v>#N/A</v>
      </c>
      <c r="Q8" s="76" t="e">
        <v>#N/A</v>
      </c>
      <c r="R8" s="339" t="e">
        <v>#N/A</v>
      </c>
      <c r="S8" s="333" t="e">
        <v>#N/A</v>
      </c>
      <c r="T8" s="340" t="e">
        <v>#N/A</v>
      </c>
      <c r="U8" s="334" t="e">
        <v>#N/A</v>
      </c>
      <c r="V8" t="e">
        <v>#N/A</v>
      </c>
    </row>
    <row r="9" spans="1:22" ht="13" hidden="1">
      <c r="A9" s="196" t="str">
        <v>Zuiko 24mm f2.8</v>
      </c>
      <c r="B9" s="60">
        <v>185</v>
      </c>
      <c r="C9" s="67">
        <v>24</v>
      </c>
      <c r="D9" s="64">
        <v>2.8</v>
      </c>
      <c r="E9" s="248">
        <v>52</v>
      </c>
      <c r="F9" s="324">
        <v>31</v>
      </c>
      <c r="G9" s="325">
        <v>49</v>
      </c>
      <c r="H9" s="72">
        <v>8.3000000000000004E-2</v>
      </c>
      <c r="I9" s="74">
        <v>25</v>
      </c>
      <c r="J9" s="84">
        <v>6</v>
      </c>
      <c r="K9" s="336" t="str">
        <v>8/7</v>
      </c>
      <c r="L9" s="113" t="e">
        <v>#VALUE!</v>
      </c>
      <c r="M9" s="336">
        <v>0</v>
      </c>
      <c r="N9" s="113" t="e">
        <v>#N/A</v>
      </c>
      <c r="O9" s="88" t="e">
        <v>#N/A</v>
      </c>
      <c r="P9" s="70" t="e">
        <v>#N/A</v>
      </c>
      <c r="Q9" s="76" t="e">
        <v>#N/A</v>
      </c>
      <c r="R9" s="342" t="e">
        <v>#N/A</v>
      </c>
      <c r="S9" s="333" t="e">
        <v>#N/A</v>
      </c>
      <c r="T9" s="333" t="e">
        <v>#N/A</v>
      </c>
      <c r="U9" s="334" t="e">
        <v>#N/A</v>
      </c>
      <c r="V9" t="e">
        <v>#N/A</v>
      </c>
    </row>
    <row r="10" spans="1:22" ht="13" hidden="1">
      <c r="A10" s="196" t="str">
        <v>Zuiko SHIFT 24mm f3.5</v>
      </c>
      <c r="B10" s="60">
        <v>523</v>
      </c>
      <c r="C10" s="67">
        <v>24</v>
      </c>
      <c r="D10" s="64">
        <v>3.5</v>
      </c>
      <c r="E10" s="65">
        <v>84</v>
      </c>
      <c r="F10" s="65">
        <v>75</v>
      </c>
      <c r="G10" s="70" t="str">
        <v>na</v>
      </c>
      <c r="H10" s="72">
        <v>0.19</v>
      </c>
      <c r="I10" s="74">
        <v>35</v>
      </c>
      <c r="J10" s="84" t="str">
        <v>6</v>
      </c>
      <c r="K10" s="121" t="str">
        <v>12/10</v>
      </c>
      <c r="L10" s="121" t="e">
        <v>#VALUE!</v>
      </c>
      <c r="M10" s="331">
        <v>0</v>
      </c>
      <c r="N10" s="121" t="e">
        <v>#N/A</v>
      </c>
      <c r="O10" s="88" t="e">
        <v>#N/A</v>
      </c>
      <c r="P10" s="344" t="e">
        <v>#N/A</v>
      </c>
      <c r="Q10" s="76" t="e">
        <v>#N/A</v>
      </c>
      <c r="R10" s="342" t="e">
        <v>#N/A</v>
      </c>
      <c r="S10" s="333" t="e">
        <v>#N/A</v>
      </c>
      <c r="T10" s="333" t="e">
        <v>#N/A</v>
      </c>
      <c r="U10" s="334" t="e">
        <v>#N/A</v>
      </c>
      <c r="V10" t="e">
        <v>#N/A</v>
      </c>
    </row>
    <row r="11" spans="1:22" ht="13" hidden="1">
      <c r="A11" s="323" t="str">
        <v>Zuiko 28mm f2.0</v>
      </c>
      <c r="B11" s="60">
        <v>245</v>
      </c>
      <c r="C11" s="67">
        <v>28</v>
      </c>
      <c r="D11" s="64">
        <v>2</v>
      </c>
      <c r="E11" s="65">
        <v>52</v>
      </c>
      <c r="F11" s="65">
        <v>43</v>
      </c>
      <c r="G11" s="70">
        <v>49</v>
      </c>
      <c r="H11" s="72">
        <v>0.19</v>
      </c>
      <c r="I11" s="74">
        <v>30</v>
      </c>
      <c r="J11" s="84">
        <v>6</v>
      </c>
      <c r="K11" s="336" t="str">
        <v>9/8</v>
      </c>
      <c r="L11" s="113" t="e">
        <v>#VALUE!</v>
      </c>
      <c r="M11" s="336">
        <v>0</v>
      </c>
      <c r="N11" s="113" t="e">
        <v>#N/A</v>
      </c>
      <c r="O11" s="88" t="e">
        <v>#N/A</v>
      </c>
      <c r="P11" s="70" t="e">
        <v>#N/A</v>
      </c>
      <c r="Q11" s="76" t="e">
        <v>#N/A</v>
      </c>
      <c r="R11" s="342" t="e">
        <v>#N/A</v>
      </c>
      <c r="S11" s="333" t="e">
        <v>#N/A</v>
      </c>
      <c r="T11" s="333" t="e">
        <v>#N/A</v>
      </c>
      <c r="U11" s="334" t="e">
        <v>#N/A</v>
      </c>
      <c r="V11" t="e">
        <v>#N/A</v>
      </c>
    </row>
    <row r="12" spans="1:22" ht="13" hidden="1">
      <c r="A12" s="327" t="str">
        <v>G.Zuiko 28mm f3.5</v>
      </c>
      <c r="B12" s="60">
        <v>180</v>
      </c>
      <c r="C12" s="67">
        <v>28</v>
      </c>
      <c r="D12" s="64">
        <v>3.5</v>
      </c>
      <c r="E12" s="152">
        <v>52</v>
      </c>
      <c r="F12" s="65">
        <v>31</v>
      </c>
      <c r="G12" s="70">
        <v>49</v>
      </c>
      <c r="H12" s="72">
        <v>0.19</v>
      </c>
      <c r="I12" s="74">
        <v>30</v>
      </c>
      <c r="J12" s="348">
        <v>6</v>
      </c>
      <c r="K12" s="336" t="str">
        <v>7/7</v>
      </c>
      <c r="L12" s="113" t="e">
        <v>#VALUE!</v>
      </c>
      <c r="M12" s="336">
        <v>0</v>
      </c>
      <c r="N12" s="113" t="e">
        <v>#N/A</v>
      </c>
      <c r="O12" s="88" t="e">
        <v>#N/A</v>
      </c>
      <c r="P12" s="70" t="e">
        <v>#N/A</v>
      </c>
      <c r="Q12" s="76" t="e">
        <v>#N/A</v>
      </c>
      <c r="R12" s="342" t="e">
        <v>#N/A</v>
      </c>
      <c r="S12" s="333" t="e">
        <v>#N/A</v>
      </c>
      <c r="T12" s="333" t="e">
        <v>#N/A</v>
      </c>
      <c r="U12" s="334" t="e">
        <v>#N/A</v>
      </c>
      <c r="V12" t="e">
        <v>#N/A</v>
      </c>
    </row>
    <row r="13" spans="1:22" ht="13" hidden="1">
      <c r="A13" s="196" t="str">
        <v>Zuiko 28mm f2.8</v>
      </c>
      <c r="B13" s="60">
        <v>170</v>
      </c>
      <c r="C13" s="67">
        <v>28</v>
      </c>
      <c r="D13" s="64">
        <v>2.8</v>
      </c>
      <c r="E13" s="65">
        <v>52</v>
      </c>
      <c r="F13" s="65">
        <v>32</v>
      </c>
      <c r="G13" s="70">
        <v>49</v>
      </c>
      <c r="H13" s="72">
        <v>0.1</v>
      </c>
      <c r="I13" s="74">
        <v>25</v>
      </c>
      <c r="J13" s="84">
        <v>6</v>
      </c>
      <c r="K13" s="336" t="str">
        <v>6/6</v>
      </c>
      <c r="L13" s="113" t="e">
        <v>#VALUE!</v>
      </c>
      <c r="M13" s="336">
        <v>0</v>
      </c>
      <c r="N13" s="113" t="e">
        <v>#N/A</v>
      </c>
      <c r="O13" s="88" t="e">
        <v>#N/A</v>
      </c>
      <c r="P13" s="70" t="e">
        <v>#N/A</v>
      </c>
      <c r="Q13" s="76" t="e">
        <v>#N/A</v>
      </c>
      <c r="R13" s="342" t="e">
        <v>#N/A</v>
      </c>
      <c r="S13" s="333" t="e">
        <v>#N/A</v>
      </c>
      <c r="T13" s="340" t="e">
        <v>#N/A</v>
      </c>
      <c r="U13" s="334" t="e">
        <v>#N/A</v>
      </c>
      <c r="V13" t="e">
        <v>#N/A</v>
      </c>
    </row>
    <row r="14" spans="1:22" ht="15.75" customHeight="1">
      <c r="A14" s="323" t="str">
        <v>Zuiko 35mm f2.0</v>
      </c>
      <c r="B14" s="60">
        <v>240</v>
      </c>
      <c r="C14" s="67">
        <v>35</v>
      </c>
      <c r="D14" s="165">
        <v>2</v>
      </c>
      <c r="E14" s="65">
        <v>59</v>
      </c>
      <c r="F14" s="65">
        <v>43</v>
      </c>
      <c r="G14" s="70">
        <v>55</v>
      </c>
      <c r="H14" s="72">
        <v>0.09</v>
      </c>
      <c r="I14" s="74">
        <v>30</v>
      </c>
      <c r="J14" s="84">
        <v>6</v>
      </c>
      <c r="K14" s="336" t="str">
        <v>8/7</v>
      </c>
      <c r="L14" s="113">
        <v>0</v>
      </c>
      <c r="M14" s="336">
        <v>0</v>
      </c>
      <c r="N14" s="113" t="e">
        <v>#N/A</v>
      </c>
      <c r="O14" s="88" t="e">
        <v>#N/A</v>
      </c>
      <c r="P14" s="70" t="e">
        <v>#N/A</v>
      </c>
      <c r="Q14" s="76" t="e">
        <v>#N/A</v>
      </c>
      <c r="R14" s="112" t="e">
        <v>#N/A</v>
      </c>
      <c r="S14" s="333" t="e">
        <v>#N/A</v>
      </c>
      <c r="T14" s="125" t="e">
        <v>#N/A</v>
      </c>
      <c r="U14" t="e">
        <v>#N/A</v>
      </c>
      <c r="V14" t="e">
        <v>#N/A</v>
      </c>
    </row>
    <row r="15" spans="1:22" ht="13">
      <c r="A15" s="323" t="str">
        <v>Zuiko 35mm f2.8</v>
      </c>
      <c r="B15" s="60">
        <v>170</v>
      </c>
      <c r="C15" s="67">
        <v>35</v>
      </c>
      <c r="D15" s="100">
        <v>2.8</v>
      </c>
      <c r="E15" s="65">
        <v>59</v>
      </c>
      <c r="F15" s="65">
        <v>33</v>
      </c>
      <c r="G15" s="328">
        <v>49</v>
      </c>
      <c r="H15" s="72">
        <v>0.14000000000000001</v>
      </c>
      <c r="I15" s="74">
        <v>30</v>
      </c>
      <c r="J15" s="84">
        <v>6</v>
      </c>
      <c r="K15" s="336" t="str">
        <v>7/6</v>
      </c>
      <c r="L15" s="113" t="e">
        <v>#VALUE!</v>
      </c>
      <c r="M15" s="338">
        <v>0</v>
      </c>
      <c r="N15" s="113" t="e">
        <v>#N/A</v>
      </c>
      <c r="O15" s="88" t="e">
        <v>#N/A</v>
      </c>
      <c r="P15" s="70" t="e">
        <v>#N/A</v>
      </c>
      <c r="Q15" s="76" t="e">
        <v>#N/A</v>
      </c>
      <c r="R15" s="339" t="e">
        <v>#N/A</v>
      </c>
      <c r="S15" s="333" t="e">
        <v>#N/A</v>
      </c>
      <c r="T15" s="340" t="e">
        <v>#N/A</v>
      </c>
      <c r="U15" s="334" t="e">
        <v>#N/A</v>
      </c>
      <c r="V15" t="e">
        <v>#N/A</v>
      </c>
    </row>
    <row r="16" spans="1:22" ht="13">
      <c r="A16" s="198" t="str">
        <v>Zuiko 40mm f2</v>
      </c>
      <c r="B16" s="60">
        <v>775</v>
      </c>
      <c r="C16" s="67">
        <v>40</v>
      </c>
      <c r="D16" s="173">
        <v>2</v>
      </c>
      <c r="E16" s="248">
        <v>60</v>
      </c>
      <c r="F16" s="65">
        <v>25</v>
      </c>
      <c r="G16" s="325">
        <v>49</v>
      </c>
      <c r="H16" s="72">
        <v>0.12</v>
      </c>
      <c r="I16" s="74">
        <v>30</v>
      </c>
      <c r="J16" s="378">
        <v>6</v>
      </c>
      <c r="K16" s="331" t="str">
        <v>6/6</v>
      </c>
      <c r="L16" s="121" t="e">
        <v>#VALUE!</v>
      </c>
      <c r="M16" s="379" t="str">
        <v>aperture change rotates filter</v>
      </c>
      <c r="N16" s="121" t="e">
        <v>#N/A</v>
      </c>
      <c r="O16" s="88" t="e">
        <v>#N/A</v>
      </c>
      <c r="P16" s="70" t="e">
        <v>#N/A</v>
      </c>
      <c r="Q16" s="76" t="e">
        <v>#N/A</v>
      </c>
      <c r="R16" s="342" t="e">
        <v>#N/A</v>
      </c>
      <c r="S16" s="333" t="e">
        <v>#N/A</v>
      </c>
      <c r="T16" s="340" t="e">
        <v>#N/A</v>
      </c>
      <c r="U16" s="334" t="e">
        <v>#N/A</v>
      </c>
      <c r="V16" t="e">
        <v>#N/A</v>
      </c>
    </row>
    <row r="17" spans="1:22" ht="13">
      <c r="A17" s="323" t="str">
        <v>Zuiko 50mm f1.2</v>
      </c>
      <c r="B17" s="60">
        <v>373</v>
      </c>
      <c r="C17" s="67">
        <v>50</v>
      </c>
      <c r="D17" s="173">
        <v>1.2</v>
      </c>
      <c r="E17" s="152">
        <v>65</v>
      </c>
      <c r="F17" s="65">
        <v>43</v>
      </c>
      <c r="G17" s="70">
        <v>49</v>
      </c>
      <c r="H17" s="72">
        <v>0.2</v>
      </c>
      <c r="I17" s="74">
        <v>45</v>
      </c>
      <c r="J17" s="84">
        <v>8</v>
      </c>
      <c r="K17" s="336" t="str">
        <v>7/6</v>
      </c>
      <c r="L17" s="113">
        <v>0</v>
      </c>
      <c r="M17" s="336">
        <v>0</v>
      </c>
      <c r="N17" s="113" t="e">
        <v>#N/A</v>
      </c>
      <c r="O17" s="88" t="e">
        <v>#N/A</v>
      </c>
      <c r="P17" s="70" t="e">
        <v>#N/A</v>
      </c>
      <c r="Q17" s="76" t="e">
        <v>#N/A</v>
      </c>
      <c r="R17" s="342" t="e">
        <v>#N/A</v>
      </c>
      <c r="S17" s="333" t="e">
        <v>#N/A</v>
      </c>
      <c r="T17" s="125" t="e">
        <v>#N/A</v>
      </c>
      <c r="U17" t="e">
        <v>#N/A</v>
      </c>
      <c r="V17" t="e">
        <v>#N/A</v>
      </c>
    </row>
    <row r="18" spans="1:22" ht="13">
      <c r="A18" s="327" t="str">
        <v>Zuiko 50mm f1.4</v>
      </c>
      <c r="B18" s="60">
        <v>230</v>
      </c>
      <c r="C18" s="67">
        <v>50</v>
      </c>
      <c r="D18" s="192">
        <v>1.4</v>
      </c>
      <c r="E18" s="152">
        <v>60</v>
      </c>
      <c r="F18" s="65">
        <v>40</v>
      </c>
      <c r="G18" s="70">
        <v>49</v>
      </c>
      <c r="H18" s="72">
        <v>0.1</v>
      </c>
      <c r="I18" s="74">
        <v>45</v>
      </c>
      <c r="J18" s="84">
        <v>8</v>
      </c>
      <c r="K18" s="336" t="str">
        <v>7/6</v>
      </c>
      <c r="L18" s="113" t="e">
        <v>#VALUE!</v>
      </c>
      <c r="M18" s="336">
        <v>0</v>
      </c>
      <c r="N18" s="113" t="e">
        <v>#N/A</v>
      </c>
      <c r="O18" s="88" t="e">
        <v>#N/A</v>
      </c>
      <c r="P18" s="70" t="e">
        <v>#N/A</v>
      </c>
      <c r="Q18" s="76" t="e">
        <v>#N/A</v>
      </c>
      <c r="R18" s="342" t="e">
        <v>#N/A</v>
      </c>
      <c r="S18" s="333" t="e">
        <v>#N/A</v>
      </c>
      <c r="T18" s="333" t="e">
        <v>#N/A</v>
      </c>
      <c r="U18" s="334" t="e">
        <v>#N/A</v>
      </c>
      <c r="V18" t="e">
        <v>#N/A</v>
      </c>
    </row>
    <row r="19" spans="1:22" ht="13" hidden="1">
      <c r="A19" s="198" t="str">
        <v>Zuiko 50mm f1.8</v>
      </c>
      <c r="B19" s="60">
        <v>170</v>
      </c>
      <c r="C19" s="67">
        <v>50</v>
      </c>
      <c r="D19" s="64">
        <v>1.8</v>
      </c>
      <c r="E19" s="248">
        <v>61</v>
      </c>
      <c r="F19" s="324">
        <v>32</v>
      </c>
      <c r="G19" s="325">
        <v>49</v>
      </c>
      <c r="H19" s="72">
        <v>0.1</v>
      </c>
      <c r="I19" s="125">
        <v>45</v>
      </c>
      <c r="J19" s="84">
        <v>6</v>
      </c>
      <c r="K19" s="336" t="str">
        <v>6/5</v>
      </c>
      <c r="L19" s="113" t="e">
        <v>#VALUE!</v>
      </c>
      <c r="M19" s="336">
        <v>0</v>
      </c>
      <c r="N19" s="113" t="e">
        <v>#N/A</v>
      </c>
      <c r="O19" s="88" t="e">
        <v>#N/A</v>
      </c>
      <c r="P19" s="70" t="e">
        <v>#N/A</v>
      </c>
      <c r="Q19" s="76" t="e">
        <v>#N/A</v>
      </c>
      <c r="R19" s="342" t="e">
        <v>#N/A</v>
      </c>
      <c r="S19" s="333" t="e">
        <v>#N/A</v>
      </c>
      <c r="T19" s="340" t="e">
        <v>#N/A</v>
      </c>
      <c r="U19" s="334" t="e">
        <v>#N/A</v>
      </c>
      <c r="V19" t="e">
        <v>#N/A</v>
      </c>
    </row>
    <row r="20" spans="1:22" ht="13" hidden="1">
      <c r="A20" s="198" t="str">
        <v>Zuiko 50mm f2 Macro</v>
      </c>
      <c r="B20" s="60">
        <v>320</v>
      </c>
      <c r="C20" s="67">
        <v>50</v>
      </c>
      <c r="D20" s="64">
        <v>2</v>
      </c>
      <c r="E20" s="65">
        <v>69</v>
      </c>
      <c r="F20" s="381">
        <v>55</v>
      </c>
      <c r="G20" s="325">
        <v>55</v>
      </c>
      <c r="H20" s="72">
        <v>0.5</v>
      </c>
      <c r="I20" s="125">
        <v>24</v>
      </c>
      <c r="J20" s="84">
        <v>6</v>
      </c>
      <c r="K20" s="331" t="str">
        <v>9/7</v>
      </c>
      <c r="L20" s="121" t="e">
        <v>#VALUE!</v>
      </c>
      <c r="M20" s="336">
        <v>0</v>
      </c>
      <c r="N20" s="121" t="e">
        <v>#N/A</v>
      </c>
      <c r="O20" s="88" t="e">
        <v>#N/A</v>
      </c>
      <c r="P20" s="70" t="e">
        <v>#N/A</v>
      </c>
      <c r="Q20" s="76" t="e">
        <v>#N/A</v>
      </c>
      <c r="R20" s="136" t="e">
        <v>#N/A</v>
      </c>
      <c r="S20" s="333" t="e">
        <v>#N/A</v>
      </c>
      <c r="T20" s="74" t="e">
        <v>#N/A</v>
      </c>
      <c r="U20" s="334" t="e">
        <v>#N/A</v>
      </c>
      <c r="V20" t="e">
        <v>#N/A</v>
      </c>
    </row>
    <row r="21" spans="1:22" ht="13">
      <c r="A21" s="196" t="str">
        <v>Zuiko 50mm f3.5 Macro</v>
      </c>
      <c r="B21" s="60">
        <v>200</v>
      </c>
      <c r="C21" s="67">
        <v>50</v>
      </c>
      <c r="D21" s="192">
        <v>3.5</v>
      </c>
      <c r="E21" s="65">
        <v>60</v>
      </c>
      <c r="F21" s="65">
        <v>40</v>
      </c>
      <c r="G21" s="70">
        <v>49</v>
      </c>
      <c r="H21" s="72">
        <v>0.5</v>
      </c>
      <c r="I21" s="74">
        <v>23</v>
      </c>
      <c r="J21" s="84">
        <v>6</v>
      </c>
      <c r="K21" s="336" t="str">
        <v>5/4</v>
      </c>
      <c r="L21" s="113" t="e">
        <v>#VALUE!</v>
      </c>
      <c r="M21" s="336">
        <v>0</v>
      </c>
      <c r="N21" s="113" t="e">
        <v>#N/A</v>
      </c>
      <c r="O21" s="88" t="e">
        <v>#N/A</v>
      </c>
      <c r="P21" s="70" t="e">
        <v>#N/A</v>
      </c>
      <c r="Q21" s="76" t="e">
        <v>#N/A</v>
      </c>
      <c r="R21" s="342" t="e">
        <v>#N/A</v>
      </c>
      <c r="S21" s="333" t="e">
        <v>#N/A</v>
      </c>
      <c r="T21" s="74" t="e">
        <v>#N/A</v>
      </c>
      <c r="U21" s="334" t="e">
        <v>#N/A</v>
      </c>
      <c r="V21" t="e">
        <v>#N/A</v>
      </c>
    </row>
    <row r="22" spans="1:22" ht="13">
      <c r="A22" s="382" t="str">
        <v>Zuiko 55mm f1.2</v>
      </c>
      <c r="B22" s="60">
        <v>310</v>
      </c>
      <c r="C22" s="67">
        <v>55</v>
      </c>
      <c r="D22" s="192">
        <v>1.2</v>
      </c>
      <c r="E22" s="65">
        <v>65</v>
      </c>
      <c r="F22" s="65">
        <v>47</v>
      </c>
      <c r="G22" s="70">
        <v>55</v>
      </c>
      <c r="H22" s="72">
        <v>0.13</v>
      </c>
      <c r="I22" s="74">
        <v>45</v>
      </c>
      <c r="J22" s="84">
        <v>6</v>
      </c>
      <c r="K22" s="336" t="str">
        <v>7/6</v>
      </c>
      <c r="L22" s="113" t="e">
        <v>#VALUE!</v>
      </c>
      <c r="M22" s="336">
        <v>0</v>
      </c>
      <c r="N22" s="113" t="e">
        <v>#N/A</v>
      </c>
      <c r="O22" s="88" t="e">
        <v>#N/A</v>
      </c>
      <c r="P22" s="70" t="e">
        <v>#N/A</v>
      </c>
      <c r="Q22" s="76" t="e">
        <v>#N/A</v>
      </c>
      <c r="R22" s="339" t="e">
        <v>#N/A</v>
      </c>
      <c r="S22" s="333" t="e">
        <v>#N/A</v>
      </c>
      <c r="T22" s="340" t="e">
        <v>#N/A</v>
      </c>
      <c r="U22" s="334" t="e">
        <v>#N/A</v>
      </c>
      <c r="V22" t="e">
        <v>#N/A</v>
      </c>
    </row>
    <row r="23" spans="1:22" ht="13" hidden="1">
      <c r="A23" s="196" t="str">
        <v>F.Zuiko 85mm f2.0</v>
      </c>
      <c r="B23" s="60">
        <v>260</v>
      </c>
      <c r="C23" s="67">
        <v>85</v>
      </c>
      <c r="D23" s="64">
        <v>2</v>
      </c>
      <c r="E23" s="65">
        <v>60</v>
      </c>
      <c r="F23" s="65">
        <v>46</v>
      </c>
      <c r="G23" s="70">
        <v>49</v>
      </c>
      <c r="H23" s="72">
        <v>0</v>
      </c>
      <c r="I23" s="74">
        <v>85</v>
      </c>
      <c r="J23" s="378">
        <v>6</v>
      </c>
      <c r="K23" s="331" t="str">
        <v>6/5</v>
      </c>
      <c r="L23" s="121" t="e">
        <v>#VALUE!</v>
      </c>
      <c r="M23" s="331">
        <v>0</v>
      </c>
      <c r="N23" s="113" t="e">
        <v>#N/A</v>
      </c>
      <c r="O23" s="88" t="e">
        <v>#N/A</v>
      </c>
      <c r="P23" s="70" t="e">
        <v>#N/A</v>
      </c>
      <c r="Q23" s="76" t="e">
        <v>#N/A</v>
      </c>
      <c r="R23" s="342" t="e">
        <v>#N/A</v>
      </c>
      <c r="S23" s="333" t="e">
        <v>#N/A</v>
      </c>
      <c r="T23" s="340" t="e">
        <v>#N/A</v>
      </c>
      <c r="U23" s="334" t="e">
        <v>#N/A</v>
      </c>
      <c r="V23" t="e">
        <v>#N/A</v>
      </c>
    </row>
    <row r="24" spans="1:22" ht="13" hidden="1">
      <c r="A24" s="196" t="str">
        <v>Zuiko 85mm f2.0</v>
      </c>
      <c r="B24" s="60">
        <v>260</v>
      </c>
      <c r="C24" s="67">
        <v>85</v>
      </c>
      <c r="D24" s="64">
        <v>2</v>
      </c>
      <c r="E24" s="65">
        <v>60</v>
      </c>
      <c r="F24" s="65">
        <v>48</v>
      </c>
      <c r="G24" s="70">
        <v>49</v>
      </c>
      <c r="H24" s="72">
        <v>0.17</v>
      </c>
      <c r="I24" s="201">
        <v>85</v>
      </c>
      <c r="J24" s="84">
        <v>6</v>
      </c>
      <c r="K24" s="336" t="str">
        <v>5/4</v>
      </c>
      <c r="L24" s="113" t="e">
        <v>#VALUE!</v>
      </c>
      <c r="M24" s="336" t="str">
        <v>Signifiantly improved</v>
      </c>
      <c r="N24" s="113" t="e">
        <v>#N/A</v>
      </c>
      <c r="O24" s="88" t="e">
        <v>#N/A</v>
      </c>
      <c r="P24" s="70" t="e">
        <v>#N/A</v>
      </c>
      <c r="Q24" s="76" t="e">
        <v>#N/A</v>
      </c>
      <c r="R24" s="342" t="e">
        <v>#N/A</v>
      </c>
      <c r="S24" s="333" t="e">
        <v>#N/A</v>
      </c>
      <c r="T24" s="333" t="e">
        <v>#N/A</v>
      </c>
      <c r="U24" s="334" t="e">
        <v>#N/A</v>
      </c>
      <c r="V24" t="e">
        <v>#N/A</v>
      </c>
    </row>
    <row r="25" spans="1:22" ht="13" hidden="1">
      <c r="A25" s="323" t="str">
        <v>Zuiko 100mm f2.0</v>
      </c>
      <c r="B25" s="60">
        <v>100</v>
      </c>
      <c r="C25" s="67">
        <v>100</v>
      </c>
      <c r="D25" s="64">
        <v>2</v>
      </c>
      <c r="E25" s="65">
        <v>70</v>
      </c>
      <c r="F25" s="65">
        <v>72</v>
      </c>
      <c r="G25" s="70">
        <v>55</v>
      </c>
      <c r="H25" s="72">
        <v>0.19</v>
      </c>
      <c r="I25" s="201">
        <v>70</v>
      </c>
      <c r="J25" s="84">
        <v>8</v>
      </c>
      <c r="K25" s="331" t="str">
        <v>7/6</v>
      </c>
      <c r="L25" s="113" t="e">
        <v>#VALUE!</v>
      </c>
      <c r="M25" s="379">
        <v>0</v>
      </c>
      <c r="N25" s="121" t="e">
        <v>#N/A</v>
      </c>
      <c r="O25" s="88" t="e">
        <v>#N/A</v>
      </c>
      <c r="P25" s="344" t="e">
        <v>#N/A</v>
      </c>
      <c r="Q25" s="76" t="e">
        <v>#N/A</v>
      </c>
      <c r="R25" s="342" t="e">
        <v>#N/A</v>
      </c>
      <c r="S25" s="333" t="e">
        <v>#N/A</v>
      </c>
      <c r="T25" s="333" t="e">
        <v>#N/A</v>
      </c>
      <c r="U25" s="334" t="e">
        <v>#N/A</v>
      </c>
      <c r="V25" t="e">
        <v>#N/A</v>
      </c>
    </row>
    <row r="26" spans="1:22" ht="13" hidden="1">
      <c r="A26" s="382" t="str">
        <v>Zuiko 100mm f2.8</v>
      </c>
      <c r="B26" s="60">
        <v>230</v>
      </c>
      <c r="C26" s="67">
        <v>100</v>
      </c>
      <c r="D26" s="64">
        <v>2.8</v>
      </c>
      <c r="E26" s="65">
        <v>60</v>
      </c>
      <c r="F26" s="65">
        <v>48</v>
      </c>
      <c r="G26" s="70">
        <v>49</v>
      </c>
      <c r="H26" s="72">
        <v>0.15</v>
      </c>
      <c r="I26" s="201">
        <v>100</v>
      </c>
      <c r="J26" s="84">
        <v>6</v>
      </c>
      <c r="K26" s="336" t="str">
        <v>5/5</v>
      </c>
      <c r="L26" s="113" t="e">
        <v>#VALUE!</v>
      </c>
      <c r="M26" s="336">
        <v>0</v>
      </c>
      <c r="N26" s="113" t="e">
        <v>#N/A</v>
      </c>
      <c r="O26" s="88" t="e">
        <v>#N/A</v>
      </c>
      <c r="P26" s="344" t="e">
        <v>#N/A</v>
      </c>
      <c r="Q26" s="76" t="e">
        <v>#N/A</v>
      </c>
      <c r="R26" s="342" t="e">
        <v>#N/A</v>
      </c>
      <c r="S26" s="333" t="e">
        <v>#N/A</v>
      </c>
      <c r="T26" s="333" t="e">
        <v>#N/A</v>
      </c>
      <c r="U26" s="334" t="e">
        <v>#N/A</v>
      </c>
      <c r="V26" t="e">
        <v>#N/A</v>
      </c>
    </row>
    <row r="27" spans="1:22" ht="13" hidden="1">
      <c r="A27" s="196" t="str">
        <v>Zuiko 135mm f2.8</v>
      </c>
      <c r="B27" s="60">
        <v>360</v>
      </c>
      <c r="C27" s="67">
        <v>135</v>
      </c>
      <c r="D27" s="64">
        <v>2.8</v>
      </c>
      <c r="E27" s="65">
        <v>61</v>
      </c>
      <c r="F27" s="65">
        <v>80</v>
      </c>
      <c r="G27" s="70">
        <v>55</v>
      </c>
      <c r="H27" s="72">
        <v>0.25</v>
      </c>
      <c r="I27" s="74">
        <v>150</v>
      </c>
      <c r="J27" s="84">
        <v>6</v>
      </c>
      <c r="K27" s="331" t="str">
        <v>5/5</v>
      </c>
      <c r="L27" s="113" t="e">
        <v>#VALUE!</v>
      </c>
      <c r="M27" s="331">
        <v>0</v>
      </c>
      <c r="N27" s="121" t="e">
        <v>#N/A</v>
      </c>
      <c r="O27" s="88" t="e">
        <v>#N/A</v>
      </c>
      <c r="P27" s="344" t="e">
        <v>#N/A</v>
      </c>
      <c r="Q27" s="76" t="e">
        <v>#N/A</v>
      </c>
      <c r="R27" s="342" t="e">
        <v>#N/A</v>
      </c>
      <c r="S27" s="333" t="e">
        <v>#N/A</v>
      </c>
      <c r="T27" s="333" t="e">
        <v>#N/A</v>
      </c>
      <c r="U27" s="334" t="e">
        <v>#N/A</v>
      </c>
      <c r="V27" t="e">
        <v>#N/A</v>
      </c>
    </row>
    <row r="28" spans="1:22" ht="13">
      <c r="A28" s="196" t="str">
        <v>Zuiko 135mm f3.5</v>
      </c>
      <c r="B28" s="60">
        <v>290</v>
      </c>
      <c r="C28" s="67">
        <v>135</v>
      </c>
      <c r="D28" s="64">
        <v>3.5</v>
      </c>
      <c r="E28" s="65">
        <v>60</v>
      </c>
      <c r="F28" s="65">
        <v>73</v>
      </c>
      <c r="G28" s="70">
        <v>49</v>
      </c>
      <c r="H28" s="72">
        <v>0.25</v>
      </c>
      <c r="I28" s="74">
        <v>150</v>
      </c>
      <c r="J28" s="84">
        <v>6</v>
      </c>
      <c r="K28" s="336" t="str">
        <v>5/4</v>
      </c>
      <c r="L28" s="113" t="e">
        <v>#VALUE!</v>
      </c>
      <c r="M28" s="336">
        <v>0</v>
      </c>
      <c r="N28" s="113" t="e">
        <v>#N/A</v>
      </c>
      <c r="O28" s="88" t="e">
        <v>#N/A</v>
      </c>
      <c r="P28" s="70" t="e">
        <v>#N/A</v>
      </c>
      <c r="Q28" s="76" t="e">
        <v>#N/A</v>
      </c>
      <c r="R28" s="342" t="e">
        <v>#N/A</v>
      </c>
      <c r="S28" s="333" t="e">
        <v>#N/A</v>
      </c>
      <c r="T28" s="340" t="e">
        <v>#N/A</v>
      </c>
      <c r="U28" s="334" t="e">
        <v>#N/A</v>
      </c>
      <c r="V28" t="e">
        <v>#N/A</v>
      </c>
    </row>
    <row r="29" spans="1:22" ht="13" hidden="1">
      <c r="A29" s="198" t="str">
        <v>Zuiko 180mm f2.0</v>
      </c>
      <c r="B29" s="60">
        <v>1900</v>
      </c>
      <c r="C29" s="67">
        <v>180</v>
      </c>
      <c r="D29" s="64">
        <v>2</v>
      </c>
      <c r="E29" s="65">
        <v>113</v>
      </c>
      <c r="F29" s="65">
        <v>174</v>
      </c>
      <c r="G29" s="325" t="str">
        <v>na</v>
      </c>
      <c r="H29" s="72">
        <v>0.28999999999999998</v>
      </c>
      <c r="I29" s="74">
        <v>160</v>
      </c>
      <c r="J29" s="84">
        <v>8</v>
      </c>
      <c r="K29" s="336" t="str">
        <v>10/8</v>
      </c>
      <c r="L29" s="113" t="str">
        <v>link*</v>
      </c>
      <c r="M29" s="336">
        <v>0</v>
      </c>
      <c r="N29" s="113" t="e">
        <v>#N/A</v>
      </c>
      <c r="O29" s="88" t="e">
        <v>#N/A</v>
      </c>
      <c r="P29" s="70" t="e">
        <v>#N/A</v>
      </c>
      <c r="Q29" s="76" t="e">
        <v>#N/A</v>
      </c>
      <c r="R29" s="342" t="e">
        <v>#N/A</v>
      </c>
      <c r="S29" s="333" t="e">
        <v>#N/A</v>
      </c>
      <c r="T29" s="125" t="e">
        <v>#N/A</v>
      </c>
      <c r="U29" t="e">
        <v>#N/A</v>
      </c>
      <c r="V29" t="e">
        <v>#N/A</v>
      </c>
    </row>
    <row r="30" spans="1:22" ht="13">
      <c r="A30" s="323" t="str">
        <v>Zuiko 180mm f2.8</v>
      </c>
      <c r="B30" s="60">
        <v>700</v>
      </c>
      <c r="C30" s="67">
        <v>180</v>
      </c>
      <c r="D30" s="64">
        <v>2.8</v>
      </c>
      <c r="E30" s="65">
        <v>81</v>
      </c>
      <c r="F30" s="65">
        <v>125</v>
      </c>
      <c r="G30" s="70">
        <v>72</v>
      </c>
      <c r="H30" s="72">
        <v>0.27</v>
      </c>
      <c r="I30" s="74">
        <v>200</v>
      </c>
      <c r="J30" s="348">
        <v>6</v>
      </c>
      <c r="K30" s="113" t="str">
        <v>5/5</v>
      </c>
      <c r="L30" s="113" t="e">
        <v>#VALUE!</v>
      </c>
      <c r="M30" s="336">
        <v>0</v>
      </c>
      <c r="N30" s="113" t="e">
        <v>#N/A</v>
      </c>
      <c r="O30" s="88" t="e">
        <v>#N/A</v>
      </c>
      <c r="P30" s="70" t="e">
        <v>#N/A</v>
      </c>
      <c r="Q30" s="76" t="e">
        <v>#N/A</v>
      </c>
      <c r="R30" s="342" t="e">
        <v>#N/A</v>
      </c>
      <c r="S30" s="333" t="e">
        <v>#N/A</v>
      </c>
      <c r="T30" s="333" t="e">
        <v>#N/A</v>
      </c>
      <c r="U30" s="334" t="e">
        <v>#N/A</v>
      </c>
      <c r="V30" t="e">
        <v>#N/A</v>
      </c>
    </row>
    <row r="31" spans="1:22" ht="13">
      <c r="A31" s="198" t="str">
        <v>Zuiko 200mm f4</v>
      </c>
      <c r="B31" s="60">
        <v>490</v>
      </c>
      <c r="C31" s="67">
        <v>200</v>
      </c>
      <c r="D31" s="64">
        <v>4</v>
      </c>
      <c r="E31" s="65">
        <v>67</v>
      </c>
      <c r="F31" s="65">
        <v>127</v>
      </c>
      <c r="G31" s="70">
        <v>55</v>
      </c>
      <c r="H31" s="72">
        <v>0.31</v>
      </c>
      <c r="I31" s="74">
        <v>250</v>
      </c>
      <c r="J31" s="348">
        <v>6</v>
      </c>
      <c r="K31" s="113" t="str">
        <v>5/4</v>
      </c>
      <c r="L31" s="113" t="e">
        <v>#VALUE!</v>
      </c>
      <c r="M31" s="336">
        <v>0</v>
      </c>
      <c r="N31" s="113" t="e">
        <v>#N/A</v>
      </c>
      <c r="O31" s="88" t="e">
        <v>#N/A</v>
      </c>
      <c r="P31" s="70" t="e">
        <v>#N/A</v>
      </c>
      <c r="Q31" s="74" t="e">
        <v>#N/A</v>
      </c>
      <c r="R31" s="342" t="e">
        <v>#N/A</v>
      </c>
      <c r="S31" s="333" t="e">
        <v>#N/A</v>
      </c>
      <c r="T31" s="333" t="e">
        <v>#N/A</v>
      </c>
      <c r="U31" s="334" t="e">
        <v>#N/A</v>
      </c>
      <c r="V31" t="e">
        <v>#N/A</v>
      </c>
    </row>
    <row r="32" spans="1:22" ht="13" hidden="1">
      <c r="A32" s="196" t="str">
        <v>F.Zuiko 200mm f5</v>
      </c>
      <c r="B32" s="60">
        <v>426</v>
      </c>
      <c r="C32" s="67">
        <v>200</v>
      </c>
      <c r="D32" s="64">
        <v>4</v>
      </c>
      <c r="E32" s="65" t="str">
        <v>62mm</v>
      </c>
      <c r="F32" s="65">
        <v>105</v>
      </c>
      <c r="G32" s="70">
        <v>49</v>
      </c>
      <c r="H32" s="72">
        <v>0.2</v>
      </c>
      <c r="I32" s="201">
        <v>250</v>
      </c>
      <c r="J32" s="348">
        <v>6</v>
      </c>
      <c r="K32" s="113" t="str">
        <v>6/5</v>
      </c>
      <c r="L32" s="113" t="e">
        <v>#VALUE!</v>
      </c>
      <c r="M32" s="336" t="str">
        <v>much rarer than older one</v>
      </c>
      <c r="N32" s="113" t="e">
        <v>#N/A</v>
      </c>
      <c r="O32" s="88" t="e">
        <v>#N/A</v>
      </c>
      <c r="P32" s="70" t="e">
        <v>#N/A</v>
      </c>
      <c r="Q32" s="76" t="e">
        <v>#N/A</v>
      </c>
      <c r="R32" s="342" t="e">
        <v>#N/A</v>
      </c>
      <c r="S32" s="333" t="e">
        <v>#N/A</v>
      </c>
      <c r="T32" s="340" t="e">
        <v>#N/A</v>
      </c>
      <c r="U32" s="334" t="e">
        <v>#N/A</v>
      </c>
      <c r="V32" t="e">
        <v>#N/A</v>
      </c>
    </row>
    <row r="33" spans="1:22" ht="13" hidden="1">
      <c r="A33" s="382" t="str">
        <v>Zuiko 250mm f2.0</v>
      </c>
      <c r="B33" s="60">
        <v>3900</v>
      </c>
      <c r="C33" s="67">
        <v>250</v>
      </c>
      <c r="D33" s="64">
        <v>2</v>
      </c>
      <c r="E33" s="65">
        <v>142</v>
      </c>
      <c r="F33" s="65">
        <v>246</v>
      </c>
      <c r="G33" s="70" t="str">
        <v>na</v>
      </c>
      <c r="H33" s="72">
        <v>0.19</v>
      </c>
      <c r="I33" s="125">
        <v>220</v>
      </c>
      <c r="J33" s="84">
        <v>8</v>
      </c>
      <c r="K33" s="336" t="str">
        <v>12/9</v>
      </c>
      <c r="L33" s="113" t="e">
        <v>#VALUE!</v>
      </c>
      <c r="M33" s="336">
        <v>0</v>
      </c>
      <c r="N33" s="113" t="e">
        <v>#N/A</v>
      </c>
      <c r="O33" s="414" t="e">
        <v>#N/A</v>
      </c>
      <c r="P33" s="344" t="e">
        <v>#N/A</v>
      </c>
      <c r="Q33" s="415" t="e">
        <v>#N/A</v>
      </c>
      <c r="R33" s="332" t="e">
        <v>#N/A</v>
      </c>
      <c r="S33" s="333" t="e">
        <v>#N/A</v>
      </c>
      <c r="T33" s="333" t="e">
        <v>#N/A</v>
      </c>
      <c r="U33" s="334" t="e">
        <v>#N/A</v>
      </c>
      <c r="V33" t="e">
        <v>#N/A</v>
      </c>
    </row>
    <row r="34" spans="1:22" ht="13" hidden="1">
      <c r="A34" s="382" t="str">
        <v>Zuiko 250mm f2.0</v>
      </c>
      <c r="B34" s="60">
        <v>393</v>
      </c>
      <c r="C34" s="67">
        <v>25</v>
      </c>
      <c r="D34" s="64">
        <v>2.4</v>
      </c>
      <c r="E34" s="65">
        <v>62</v>
      </c>
      <c r="F34" s="65">
        <v>75</v>
      </c>
      <c r="G34" s="70">
        <v>52</v>
      </c>
      <c r="H34" s="234">
        <v>0.16</v>
      </c>
      <c r="I34" s="125">
        <v>25</v>
      </c>
      <c r="J34" s="84">
        <v>10</v>
      </c>
      <c r="K34" s="336" t="str">
        <v>10/8</v>
      </c>
      <c r="L34" s="113" t="e">
        <v>#VALUE!</v>
      </c>
      <c r="M34" s="336">
        <v>0</v>
      </c>
      <c r="N34" s="113" t="e">
        <v>#N/A</v>
      </c>
      <c r="O34" s="414" t="e">
        <v>#N/A</v>
      </c>
      <c r="P34" s="344" t="e">
        <v>#N/A</v>
      </c>
      <c r="Q34" s="415" t="e">
        <v>#N/A</v>
      </c>
      <c r="R34" s="332" t="e">
        <v>#N/A</v>
      </c>
      <c r="S34" s="333" t="e">
        <v>#N/A</v>
      </c>
      <c r="T34" s="333" t="e">
        <v>#N/A</v>
      </c>
      <c r="U34" s="334" t="e">
        <v>#N/A</v>
      </c>
      <c r="V34" t="e">
        <v>#N/A</v>
      </c>
    </row>
    <row r="35" spans="1:22" ht="15.75" customHeight="1">
      <c r="A35" s="337" t="str">
        <v>Zuiko 300mm f4.5</v>
      </c>
      <c r="B35" s="60">
        <v>1000</v>
      </c>
      <c r="C35" s="67">
        <v>300</v>
      </c>
      <c r="D35" s="235">
        <v>4.5</v>
      </c>
      <c r="E35" s="65">
        <v>80</v>
      </c>
      <c r="F35" s="65">
        <v>181</v>
      </c>
      <c r="G35" s="70">
        <v>72</v>
      </c>
      <c r="H35" s="236">
        <v>0.19</v>
      </c>
      <c r="I35" s="74">
        <v>350</v>
      </c>
      <c r="J35" s="84">
        <v>6</v>
      </c>
      <c r="K35" s="336" t="str">
        <v>6/4</v>
      </c>
      <c r="L35" s="113" t="e">
        <v>#VALUE!</v>
      </c>
      <c r="M35" s="336">
        <v>0</v>
      </c>
      <c r="N35" s="113" t="e">
        <v>#N/A</v>
      </c>
      <c r="O35" s="88" t="e">
        <v>#N/A</v>
      </c>
      <c r="P35" s="70" t="e">
        <v>#N/A</v>
      </c>
      <c r="Q35" s="76" t="e">
        <v>#N/A</v>
      </c>
      <c r="R35" s="339" t="e">
        <v>#N/A</v>
      </c>
      <c r="S35" s="333" t="e">
        <v>#N/A</v>
      </c>
      <c r="T35" s="333" t="e">
        <v>#N/A</v>
      </c>
      <c r="U35" s="334" t="e">
        <v>#N/A</v>
      </c>
      <c r="V35" t="e">
        <v>#N/A</v>
      </c>
    </row>
    <row r="36" spans="1:22" ht="13">
      <c r="A36" s="196" t="str">
        <v>Zuiko 350mm f2.8</v>
      </c>
      <c r="B36" s="60">
        <v>3900</v>
      </c>
      <c r="C36" s="67">
        <v>350</v>
      </c>
      <c r="D36" s="64">
        <v>2.8</v>
      </c>
      <c r="E36" s="65">
        <v>142</v>
      </c>
      <c r="F36" s="65">
        <v>280</v>
      </c>
      <c r="G36" s="70" t="str">
        <v>na</v>
      </c>
      <c r="H36" s="72">
        <v>0.13</v>
      </c>
      <c r="I36" s="74">
        <v>300</v>
      </c>
      <c r="J36" s="84">
        <v>8</v>
      </c>
      <c r="K36" s="336" t="str">
        <v>9/7</v>
      </c>
      <c r="L36" s="113" t="e">
        <v>#VALUE!</v>
      </c>
      <c r="M36" s="336">
        <v>0</v>
      </c>
      <c r="N36" s="113" t="e">
        <v>#N/A</v>
      </c>
      <c r="O36" s="88" t="e">
        <v>#N/A</v>
      </c>
      <c r="P36" s="70" t="e">
        <v>#N/A</v>
      </c>
      <c r="Q36" s="76" t="e">
        <v>#N/A</v>
      </c>
      <c r="R36" s="339" t="e">
        <v>#N/A</v>
      </c>
      <c r="S36" s="333" t="e">
        <v>#N/A</v>
      </c>
      <c r="T36" s="333" t="e">
        <v>#N/A</v>
      </c>
      <c r="U36" s="334" t="e">
        <v>#N/A</v>
      </c>
      <c r="V36" t="e">
        <v>#N/A</v>
      </c>
    </row>
    <row r="37" spans="1:22" ht="13">
      <c r="A37" s="382" t="e">
        <v>#N/A</v>
      </c>
      <c r="B37" s="60" t="e">
        <v>#N/A</v>
      </c>
      <c r="C37" s="67" t="e">
        <v>#N/A</v>
      </c>
      <c r="D37" s="64" t="e">
        <v>#N/A</v>
      </c>
      <c r="E37" s="65" t="e">
        <v>#N/A</v>
      </c>
      <c r="F37" s="65" t="e">
        <v>#N/A</v>
      </c>
      <c r="G37" s="70" t="e">
        <v>#N/A</v>
      </c>
      <c r="H37" s="72" t="e">
        <v>#N/A</v>
      </c>
      <c r="I37" s="74" t="e">
        <v>#N/A</v>
      </c>
      <c r="J37" s="84" t="e">
        <v>#N/A</v>
      </c>
      <c r="K37" s="336" t="e">
        <v>#N/A</v>
      </c>
      <c r="L37" s="113" t="e">
        <v>#N/A</v>
      </c>
      <c r="M37" s="336" t="e">
        <v>#N/A</v>
      </c>
      <c r="N37" s="113" t="e">
        <v>#N/A</v>
      </c>
      <c r="O37" s="88" t="e">
        <v>#N/A</v>
      </c>
      <c r="P37" s="70" t="e">
        <v>#N/A</v>
      </c>
      <c r="Q37" s="76" t="e">
        <v>#N/A</v>
      </c>
      <c r="R37" s="339" t="e">
        <v>#N/A</v>
      </c>
      <c r="S37" s="333" t="e">
        <v>#N/A</v>
      </c>
      <c r="T37" s="340" t="e">
        <v>#N/A</v>
      </c>
      <c r="U37" s="334" t="e">
        <v>#N/A</v>
      </c>
      <c r="V37" t="e">
        <v>#N/A</v>
      </c>
    </row>
    <row r="38" spans="1:22" ht="13">
      <c r="A38" s="198" t="e">
        <v>#N/A</v>
      </c>
      <c r="B38" s="60" t="e">
        <v>#N/A</v>
      </c>
      <c r="C38" s="67" t="e">
        <v>#N/A</v>
      </c>
      <c r="D38" s="64" t="e">
        <v>#N/A</v>
      </c>
      <c r="E38" s="65" t="e">
        <v>#N/A</v>
      </c>
      <c r="F38" s="65" t="e">
        <v>#N/A</v>
      </c>
      <c r="G38" s="325" t="e">
        <v>#N/A</v>
      </c>
      <c r="H38" s="72" t="e">
        <v>#N/A</v>
      </c>
      <c r="I38" s="74" t="e">
        <v>#N/A</v>
      </c>
      <c r="J38" s="84" t="e">
        <v>#N/A</v>
      </c>
      <c r="K38" s="113" t="e">
        <v>#N/A</v>
      </c>
      <c r="L38" s="113" t="e">
        <v>#N/A</v>
      </c>
      <c r="M38" s="336" t="e">
        <v>#N/A</v>
      </c>
      <c r="N38" s="113" t="e">
        <v>#N/A</v>
      </c>
      <c r="O38" s="88" t="e">
        <v>#N/A</v>
      </c>
      <c r="P38" s="70" t="e">
        <v>#N/A</v>
      </c>
      <c r="Q38" s="76" t="e">
        <v>#N/A</v>
      </c>
      <c r="R38" s="339" t="e">
        <v>#N/A</v>
      </c>
      <c r="S38" s="333" t="e">
        <v>#N/A</v>
      </c>
      <c r="T38" s="333" t="e">
        <v>#N/A</v>
      </c>
      <c r="U38" s="334" t="e">
        <v>#N/A</v>
      </c>
      <c r="V38" t="e">
        <v>#N/A</v>
      </c>
    </row>
    <row r="39" spans="1:22" ht="15.75" customHeight="1">
      <c r="A39" s="323" t="e">
        <v>#N/A</v>
      </c>
      <c r="B39" s="60" t="e">
        <v>#N/A</v>
      </c>
      <c r="C39" s="67" t="e">
        <v>#N/A</v>
      </c>
      <c r="D39" s="64" t="e">
        <v>#N/A</v>
      </c>
      <c r="E39" s="65" t="e">
        <v>#N/A</v>
      </c>
      <c r="F39" s="65" t="e">
        <v>#N/A</v>
      </c>
      <c r="G39" s="70" t="e">
        <v>#N/A</v>
      </c>
      <c r="H39" s="72" t="e">
        <v>#N/A</v>
      </c>
      <c r="I39" s="74" t="e">
        <v>#N/A</v>
      </c>
      <c r="J39" s="348" t="e">
        <v>#N/A</v>
      </c>
      <c r="K39" s="113" t="e">
        <v>#N/A</v>
      </c>
      <c r="L39" s="113" t="e">
        <v>#N/A</v>
      </c>
      <c r="M39" s="336" t="e">
        <v>#N/A</v>
      </c>
      <c r="N39" s="113" t="e">
        <v>#N/A</v>
      </c>
      <c r="O39" s="88" t="e">
        <v>#N/A</v>
      </c>
      <c r="P39" s="70" t="e">
        <v>#N/A</v>
      </c>
      <c r="Q39" s="76" t="e">
        <v>#N/A</v>
      </c>
      <c r="R39" s="339" t="e">
        <v>#N/A</v>
      </c>
      <c r="S39" s="333" t="e">
        <v>#N/A</v>
      </c>
      <c r="T39" s="340" t="e">
        <v>#N/A</v>
      </c>
      <c r="U39" s="334" t="e">
        <v>#N/A</v>
      </c>
      <c r="V39" t="e">
        <v>#N/A</v>
      </c>
    </row>
    <row r="40" spans="1:22" ht="13">
      <c r="A40" s="382" t="e">
        <v>#N/A</v>
      </c>
      <c r="B40" s="60" t="e">
        <v>#N/A</v>
      </c>
      <c r="C40" s="67" t="e">
        <v>#N/A</v>
      </c>
      <c r="D40" s="64" t="e">
        <v>#N/A</v>
      </c>
      <c r="E40" s="65" t="e">
        <v>#N/A</v>
      </c>
      <c r="F40" s="65" t="e">
        <v>#N/A</v>
      </c>
      <c r="G40" s="74" t="e">
        <v>#N/A</v>
      </c>
      <c r="H40" s="72" t="e">
        <v>#N/A</v>
      </c>
      <c r="I40" s="239" t="e">
        <v>#N/A</v>
      </c>
      <c r="J40" s="84" t="e">
        <v>#N/A</v>
      </c>
      <c r="K40" s="336" t="e">
        <v>#N/A</v>
      </c>
      <c r="L40" s="113" t="e">
        <v>#N/A</v>
      </c>
      <c r="M40" s="338" t="e">
        <v>#N/A</v>
      </c>
      <c r="N40" s="113" t="e">
        <v>#N/A</v>
      </c>
      <c r="O40" s="88" t="e">
        <v>#N/A</v>
      </c>
      <c r="P40" s="70" t="e">
        <v>#N/A</v>
      </c>
      <c r="Q40" s="76" t="e">
        <v>#N/A</v>
      </c>
      <c r="R40" s="339" t="e">
        <v>#N/A</v>
      </c>
      <c r="S40" s="333" t="e">
        <v>#N/A</v>
      </c>
      <c r="T40" s="74" t="e">
        <v>#N/A</v>
      </c>
      <c r="U40" s="334" t="e">
        <v>#N/A</v>
      </c>
      <c r="V40" t="e">
        <v>#N/A</v>
      </c>
    </row>
    <row r="41" spans="1:22" ht="13">
      <c r="A41" s="196" t="e">
        <v>#N/A</v>
      </c>
      <c r="B41" s="60" t="e">
        <v>#N/A</v>
      </c>
      <c r="C41" s="67" t="e">
        <v>#N/A</v>
      </c>
      <c r="D41" s="64" t="e">
        <v>#N/A</v>
      </c>
      <c r="E41" s="65" t="e">
        <v>#N/A</v>
      </c>
      <c r="F41" s="65" t="e">
        <v>#N/A</v>
      </c>
      <c r="G41" s="328" t="e">
        <v>#N/A</v>
      </c>
      <c r="H41" s="72" t="e">
        <v>#N/A</v>
      </c>
      <c r="I41" s="74" t="e">
        <v>#N/A</v>
      </c>
      <c r="J41" s="84" t="e">
        <v>#N/A</v>
      </c>
      <c r="K41" s="336" t="e">
        <v>#N/A</v>
      </c>
      <c r="L41" s="113" t="e">
        <v>#N/A</v>
      </c>
      <c r="M41" s="338" t="e">
        <v>#N/A</v>
      </c>
      <c r="N41" s="113" t="e">
        <v>#N/A</v>
      </c>
      <c r="O41" s="88" t="e">
        <v>#N/A</v>
      </c>
      <c r="P41" s="70" t="e">
        <v>#N/A</v>
      </c>
      <c r="Q41" s="76" t="e">
        <v>#N/A</v>
      </c>
      <c r="R41" s="339" t="e">
        <v>#N/A</v>
      </c>
      <c r="S41" s="333" t="e">
        <v>#N/A</v>
      </c>
      <c r="T41" s="340" t="e">
        <v>#N/A</v>
      </c>
      <c r="U41" s="334" t="e">
        <v>#N/A</v>
      </c>
      <c r="V41" t="e">
        <v>#N/A</v>
      </c>
    </row>
    <row r="42" spans="1:22" ht="13" hidden="1">
      <c r="A42" s="196" t="e">
        <v>#N/A</v>
      </c>
      <c r="B42" s="60" t="e">
        <v>#N/A</v>
      </c>
      <c r="C42" s="67" t="e">
        <v>#N/A</v>
      </c>
      <c r="D42" s="64" t="e">
        <v>#N/A</v>
      </c>
      <c r="E42" s="65" t="e">
        <v>#N/A</v>
      </c>
      <c r="F42" s="65" t="e">
        <v>#N/A</v>
      </c>
      <c r="G42" s="74" t="e">
        <v>#N/A</v>
      </c>
      <c r="H42" s="72" t="e">
        <v>#N/A</v>
      </c>
      <c r="I42" s="74" t="e">
        <v>#N/A</v>
      </c>
      <c r="J42" s="84" t="e">
        <v>#N/A</v>
      </c>
      <c r="K42" s="336" t="e">
        <v>#N/A</v>
      </c>
      <c r="L42" s="113" t="e">
        <v>#N/A</v>
      </c>
      <c r="M42" s="338" t="e">
        <v>#N/A</v>
      </c>
      <c r="N42" s="113" t="e">
        <v>#N/A</v>
      </c>
      <c r="O42" s="88" t="e">
        <v>#N/A</v>
      </c>
      <c r="P42" s="70" t="e">
        <v>#N/A</v>
      </c>
      <c r="Q42" s="76" t="e">
        <v>#N/A</v>
      </c>
      <c r="R42" s="339" t="e">
        <v>#N/A</v>
      </c>
      <c r="S42" s="333" t="e">
        <v>#N/A</v>
      </c>
      <c r="T42" s="333" t="e">
        <v>#N/A</v>
      </c>
      <c r="U42" s="334" t="e">
        <v>#N/A</v>
      </c>
      <c r="V42" t="e">
        <v>#N/A</v>
      </c>
    </row>
    <row r="43" spans="1:22" ht="13" hidden="1">
      <c r="A43" s="382" t="e">
        <v>#N/A</v>
      </c>
      <c r="B43" s="60" t="e">
        <v>#N/A</v>
      </c>
      <c r="C43" s="67" t="e">
        <v>#N/A</v>
      </c>
      <c r="D43" s="64" t="e">
        <v>#N/A</v>
      </c>
      <c r="E43" s="65" t="e">
        <v>#N/A</v>
      </c>
      <c r="F43" s="65" t="e">
        <v>#N/A</v>
      </c>
      <c r="G43" s="74" t="e">
        <v>#N/A</v>
      </c>
      <c r="H43" s="72" t="e">
        <v>#N/A</v>
      </c>
      <c r="I43" s="74" t="e">
        <v>#N/A</v>
      </c>
      <c r="J43" s="456" t="e">
        <v>#N/A</v>
      </c>
      <c r="K43" s="336" t="e">
        <v>#N/A</v>
      </c>
      <c r="L43" s="113" t="e">
        <v>#N/A</v>
      </c>
      <c r="M43" s="338" t="e">
        <v>#N/A</v>
      </c>
      <c r="N43" s="113" t="e">
        <v>#N/A</v>
      </c>
      <c r="O43" s="88" t="e">
        <v>#N/A</v>
      </c>
      <c r="P43" s="70" t="e">
        <v>#N/A</v>
      </c>
      <c r="Q43" s="76" t="e">
        <v>#N/A</v>
      </c>
      <c r="R43" s="339" t="e">
        <v>#N/A</v>
      </c>
      <c r="S43" s="333" t="e">
        <v>#N/A</v>
      </c>
      <c r="T43" s="333" t="e">
        <v>#N/A</v>
      </c>
      <c r="U43" s="334" t="e">
        <v>#N/A</v>
      </c>
      <c r="V43" t="e">
        <v>#N/A</v>
      </c>
    </row>
    <row r="44" spans="1:22" ht="13">
      <c r="A44" s="382" t="e">
        <v>#N/A</v>
      </c>
      <c r="B44" s="60" t="e">
        <v>#N/A</v>
      </c>
      <c r="C44" s="67" t="e">
        <v>#N/A</v>
      </c>
      <c r="D44" s="304" t="e">
        <v>#N/A</v>
      </c>
      <c r="E44" s="65" t="e">
        <v>#N/A</v>
      </c>
      <c r="F44" s="65" t="e">
        <v>#N/A</v>
      </c>
      <c r="G44" s="328" t="e">
        <v>#N/A</v>
      </c>
      <c r="H44" s="72" t="e">
        <v>#N/A</v>
      </c>
      <c r="I44" s="74" t="e">
        <v>#N/A</v>
      </c>
      <c r="J44" s="84" t="e">
        <v>#N/A</v>
      </c>
      <c r="K44" s="336" t="e">
        <v>#N/A</v>
      </c>
      <c r="L44" s="113" t="e">
        <v>#N/A</v>
      </c>
      <c r="M44" s="338" t="e">
        <v>#N/A</v>
      </c>
      <c r="N44" s="113" t="e">
        <v>#N/A</v>
      </c>
      <c r="O44" s="88" t="e">
        <v>#N/A</v>
      </c>
      <c r="P44" s="70" t="e">
        <v>#N/A</v>
      </c>
      <c r="Q44" s="76" t="e">
        <v>#N/A</v>
      </c>
      <c r="R44" s="339" t="e">
        <v>#N/A</v>
      </c>
      <c r="S44" s="333" t="e">
        <v>#N/A</v>
      </c>
      <c r="T44" s="333" t="e">
        <v>#N/A</v>
      </c>
      <c r="U44" s="334" t="e">
        <v>#N/A</v>
      </c>
      <c r="V44" t="e">
        <v>#N/A</v>
      </c>
    </row>
    <row r="45" spans="1:22" ht="13">
      <c r="A45" s="382" t="e">
        <v>#N/A</v>
      </c>
      <c r="B45" s="60" t="e">
        <v>#N/A</v>
      </c>
      <c r="C45" s="67" t="e">
        <v>#N/A</v>
      </c>
      <c r="D45" s="64" t="e">
        <v>#N/A</v>
      </c>
      <c r="E45" s="463" t="e">
        <v>#N/A</v>
      </c>
      <c r="F45" s="463" t="e">
        <v>#N/A</v>
      </c>
      <c r="G45" s="74" t="e">
        <v>#N/A</v>
      </c>
      <c r="H45" s="244" t="e">
        <v>#N/A</v>
      </c>
      <c r="I45" s="74" t="e">
        <v>#N/A</v>
      </c>
      <c r="J45" s="84" t="e">
        <v>#N/A</v>
      </c>
      <c r="K45" s="336" t="e">
        <v>#N/A</v>
      </c>
      <c r="L45" s="113" t="e">
        <v>#N/A</v>
      </c>
      <c r="M45" s="338" t="e">
        <v>#N/A</v>
      </c>
      <c r="N45" s="113" t="e">
        <v>#N/A</v>
      </c>
      <c r="O45" s="88" t="e">
        <v>#N/A</v>
      </c>
      <c r="P45" s="70" t="e">
        <v>#N/A</v>
      </c>
      <c r="Q45" s="76" t="e">
        <v>#N/A</v>
      </c>
      <c r="R45" s="339" t="e">
        <v>#N/A</v>
      </c>
      <c r="S45" s="333" t="e">
        <v>#N/A</v>
      </c>
      <c r="T45" s="340" t="e">
        <v>#N/A</v>
      </c>
      <c r="U45" s="334" t="e">
        <v>#N/A</v>
      </c>
      <c r="V45" t="e">
        <v>#N/A</v>
      </c>
    </row>
    <row r="46" spans="1:22" ht="13">
      <c r="A46" s="382" t="e">
        <v>#N/A</v>
      </c>
      <c r="B46" s="60" t="e">
        <v>#N/A</v>
      </c>
      <c r="C46" s="67" t="e">
        <v>#N/A</v>
      </c>
      <c r="D46" s="64" t="e">
        <v>#N/A</v>
      </c>
      <c r="E46" s="65" t="e">
        <v>#N/A</v>
      </c>
      <c r="F46" s="65" t="e">
        <v>#N/A</v>
      </c>
      <c r="G46" s="74" t="e">
        <v>#N/A</v>
      </c>
      <c r="H46" s="72" t="e">
        <v>#N/A</v>
      </c>
      <c r="I46" s="239" t="e">
        <v>#N/A</v>
      </c>
      <c r="J46" s="84" t="e">
        <v>#N/A</v>
      </c>
      <c r="K46" s="336" t="e">
        <v>#N/A</v>
      </c>
      <c r="L46" s="113" t="e">
        <v>#N/A</v>
      </c>
      <c r="M46" s="338" t="e">
        <v>#N/A</v>
      </c>
      <c r="N46" s="113" t="e">
        <v>#N/A</v>
      </c>
      <c r="O46" s="88" t="e">
        <v>#N/A</v>
      </c>
      <c r="P46" s="70" t="e">
        <v>#N/A</v>
      </c>
      <c r="Q46" s="76" t="e">
        <v>#N/A</v>
      </c>
      <c r="R46" s="339" t="e">
        <v>#N/A</v>
      </c>
      <c r="S46" s="333" t="e">
        <v>#N/A</v>
      </c>
      <c r="T46" s="125" t="e">
        <v>#N/A</v>
      </c>
      <c r="U46" s="334" t="e">
        <v>#N/A</v>
      </c>
      <c r="V46" t="e">
        <v>#N/A</v>
      </c>
    </row>
    <row r="47" spans="1:22" ht="13">
      <c r="A47" s="469" t="e">
        <v>#N/A</v>
      </c>
      <c r="B47" s="60" t="e">
        <v>#N/A</v>
      </c>
      <c r="C47" s="67" t="e">
        <v>#N/A</v>
      </c>
      <c r="D47" s="64" t="e">
        <v>#N/A</v>
      </c>
      <c r="E47" s="65" t="e">
        <v>#N/A</v>
      </c>
      <c r="F47" s="65" t="e">
        <v>#N/A</v>
      </c>
      <c r="G47" s="74" t="e">
        <v>#N/A</v>
      </c>
      <c r="H47" s="72" t="e">
        <v>#N/A</v>
      </c>
      <c r="I47" s="74" t="e">
        <v>#N/A</v>
      </c>
      <c r="J47" s="378" t="e">
        <v>#N/A</v>
      </c>
      <c r="K47" s="336" t="e">
        <v>#N/A</v>
      </c>
      <c r="L47" s="113" t="e">
        <v>#N/A</v>
      </c>
      <c r="M47" s="338" t="e">
        <v>#N/A</v>
      </c>
      <c r="N47" s="113" t="e">
        <v>#N/A</v>
      </c>
      <c r="O47" s="88" t="e">
        <v>#N/A</v>
      </c>
      <c r="P47" s="70" t="e">
        <v>#N/A</v>
      </c>
      <c r="Q47" s="76" t="e">
        <v>#N/A</v>
      </c>
      <c r="R47" s="339" t="e">
        <v>#N/A</v>
      </c>
      <c r="S47" s="333" t="e">
        <v>#N/A</v>
      </c>
      <c r="T47" s="125" t="e">
        <v>#N/A</v>
      </c>
      <c r="U47" s="334" t="e">
        <v>#N/A</v>
      </c>
      <c r="V47" t="e">
        <v>#N/A</v>
      </c>
    </row>
    <row r="48" spans="1:22" ht="13" hidden="1">
      <c r="A48" s="476" t="e">
        <v>#N/A</v>
      </c>
      <c r="B48" s="60" t="e">
        <v>#N/A</v>
      </c>
      <c r="C48" s="67" t="e">
        <v>#N/A</v>
      </c>
      <c r="D48" s="64" t="e">
        <v>#N/A</v>
      </c>
      <c r="E48" s="65" t="e">
        <v>#N/A</v>
      </c>
      <c r="F48" s="65" t="e">
        <v>#N/A</v>
      </c>
      <c r="G48" s="70" t="e">
        <v>#N/A</v>
      </c>
      <c r="H48" s="72" t="e">
        <v>#N/A</v>
      </c>
      <c r="I48" s="201" t="e">
        <v>#N/A</v>
      </c>
      <c r="J48" s="84" t="e">
        <v>#N/A</v>
      </c>
      <c r="K48" s="336" t="e">
        <v>#N/A</v>
      </c>
      <c r="L48" s="113" t="e">
        <v>#N/A</v>
      </c>
      <c r="M48" s="336" t="e">
        <v>#N/A</v>
      </c>
      <c r="N48" s="113" t="e">
        <v>#N/A</v>
      </c>
      <c r="O48" s="88" t="e">
        <v>#N/A</v>
      </c>
      <c r="P48" s="70" t="e">
        <v>#N/A</v>
      </c>
      <c r="Q48" s="76" t="e">
        <v>#N/A</v>
      </c>
      <c r="R48" s="339" t="e">
        <v>#N/A</v>
      </c>
      <c r="S48" s="333" t="e">
        <v>#N/A</v>
      </c>
      <c r="T48" s="340" t="e">
        <v>#N/A</v>
      </c>
      <c r="U48" s="334" t="e">
        <v>#N/A</v>
      </c>
      <c r="V48" t="e">
        <v>#N/A</v>
      </c>
    </row>
    <row r="49" spans="1:22" ht="13">
      <c r="A49" s="198" t="e">
        <v>#N/A</v>
      </c>
      <c r="B49" s="60" t="e">
        <v>#N/A</v>
      </c>
      <c r="C49" s="67" t="e">
        <v>#N/A</v>
      </c>
      <c r="D49" s="304" t="e">
        <v>#N/A</v>
      </c>
      <c r="E49" s="65" t="e">
        <v>#N/A</v>
      </c>
      <c r="F49" s="65" t="e">
        <v>#N/A</v>
      </c>
      <c r="G49" s="328" t="e">
        <v>#N/A</v>
      </c>
      <c r="H49" s="72" t="e">
        <v>#N/A</v>
      </c>
      <c r="I49" s="125" t="e">
        <v>#N/A</v>
      </c>
      <c r="J49" s="84" t="e">
        <v>#N/A</v>
      </c>
      <c r="K49" s="336" t="e">
        <v>#N/A</v>
      </c>
      <c r="L49" s="113" t="e">
        <v>#N/A</v>
      </c>
      <c r="M49" s="338" t="e">
        <v>#N/A</v>
      </c>
      <c r="N49" s="113" t="e">
        <v>#N/A</v>
      </c>
      <c r="O49" s="88" t="e">
        <v>#N/A</v>
      </c>
      <c r="P49" s="70" t="e">
        <v>#N/A</v>
      </c>
      <c r="Q49" s="76" t="e">
        <v>#N/A</v>
      </c>
      <c r="R49" s="339" t="e">
        <v>#N/A</v>
      </c>
      <c r="S49" s="333" t="e">
        <v>#N/A</v>
      </c>
      <c r="T49" s="333" t="e">
        <v>#N/A</v>
      </c>
      <c r="U49" s="334" t="e">
        <v>#N/A</v>
      </c>
      <c r="V49" t="e">
        <v>#N/A</v>
      </c>
    </row>
    <row r="50" spans="1:22" ht="13">
      <c r="A50" s="382" t="e">
        <v>#N/A</v>
      </c>
      <c r="B50" s="60" t="e">
        <v>#N/A</v>
      </c>
      <c r="C50" s="67" t="e">
        <v>#N/A</v>
      </c>
      <c r="D50" s="64" t="e">
        <v>#N/A</v>
      </c>
      <c r="E50" s="65" t="e">
        <v>#N/A</v>
      </c>
      <c r="F50" s="65" t="e">
        <v>#N/A</v>
      </c>
      <c r="G50" s="74" t="e">
        <v>#N/A</v>
      </c>
      <c r="H50" s="72" t="e">
        <v>#N/A</v>
      </c>
      <c r="I50" s="74" t="e">
        <v>#N/A</v>
      </c>
      <c r="J50" s="84" t="e">
        <v>#N/A</v>
      </c>
      <c r="K50" s="336" t="e">
        <v>#N/A</v>
      </c>
      <c r="L50" s="113" t="e">
        <v>#N/A</v>
      </c>
      <c r="M50" s="338" t="e">
        <v>#N/A</v>
      </c>
      <c r="N50" s="113" t="e">
        <v>#N/A</v>
      </c>
      <c r="O50" s="88" t="e">
        <v>#N/A</v>
      </c>
      <c r="P50" s="70" t="e">
        <v>#N/A</v>
      </c>
      <c r="Q50" s="76" t="e">
        <v>#N/A</v>
      </c>
      <c r="R50" s="339" t="e">
        <v>#N/A</v>
      </c>
      <c r="S50" s="333" t="e">
        <v>#N/A</v>
      </c>
      <c r="T50" s="125" t="e">
        <v>#N/A</v>
      </c>
      <c r="U50" s="334" t="e">
        <v>#N/A</v>
      </c>
      <c r="V50" t="e">
        <v>#N/A</v>
      </c>
    </row>
    <row r="51" spans="1:22" ht="13">
      <c r="A51" s="382" t="e">
        <v>#N/A</v>
      </c>
      <c r="B51" s="60" t="e">
        <v>#N/A</v>
      </c>
      <c r="C51" s="67" t="e">
        <v>#N/A</v>
      </c>
      <c r="D51" s="64" t="e">
        <v>#N/A</v>
      </c>
      <c r="E51" s="65" t="e">
        <v>#N/A</v>
      </c>
      <c r="F51" s="65" t="e">
        <v>#N/A</v>
      </c>
      <c r="G51" s="74" t="e">
        <v>#N/A</v>
      </c>
      <c r="H51" s="72" t="e">
        <v>#N/A</v>
      </c>
      <c r="I51" s="74" t="e">
        <v>#N/A</v>
      </c>
      <c r="J51" s="84" t="e">
        <v>#N/A</v>
      </c>
      <c r="K51" s="336" t="e">
        <v>#N/A</v>
      </c>
      <c r="L51" s="113" t="e">
        <v>#N/A</v>
      </c>
      <c r="M51" s="338" t="e">
        <v>#N/A</v>
      </c>
      <c r="N51" s="113" t="e">
        <v>#N/A</v>
      </c>
      <c r="O51" s="88" t="e">
        <v>#N/A</v>
      </c>
      <c r="P51" s="70" t="e">
        <v>#N/A</v>
      </c>
      <c r="Q51" s="76" t="e">
        <v>#N/A</v>
      </c>
      <c r="R51" s="488" t="e">
        <v>#N/A</v>
      </c>
      <c r="S51" s="333" t="e">
        <v>#N/A</v>
      </c>
      <c r="T51" s="125" t="e">
        <v>#N/A</v>
      </c>
      <c r="U51" s="334" t="e">
        <v>#N/A</v>
      </c>
      <c r="V51" t="e">
        <v>#N/A</v>
      </c>
    </row>
    <row r="52" spans="1:22" ht="13">
      <c r="A52" s="382" t="e">
        <v>#N/A</v>
      </c>
      <c r="B52" s="60" t="e">
        <v>#N/A</v>
      </c>
      <c r="C52" s="67" t="e">
        <v>#N/A</v>
      </c>
      <c r="D52" s="64" t="e">
        <v>#N/A</v>
      </c>
      <c r="E52" s="65" t="e">
        <v>#N/A</v>
      </c>
      <c r="F52" s="65" t="e">
        <v>#N/A</v>
      </c>
      <c r="G52" s="74" t="e">
        <v>#N/A</v>
      </c>
      <c r="H52" s="72" t="e">
        <v>#N/A</v>
      </c>
      <c r="I52" s="74" t="e">
        <v>#N/A</v>
      </c>
      <c r="J52" s="84" t="e">
        <v>#N/A</v>
      </c>
      <c r="K52" s="336" t="e">
        <v>#N/A</v>
      </c>
      <c r="L52" s="113" t="e">
        <v>#N/A</v>
      </c>
      <c r="M52" s="338" t="e">
        <v>#N/A</v>
      </c>
      <c r="N52" s="113" t="e">
        <v>#N/A</v>
      </c>
      <c r="O52" s="88" t="e">
        <v>#N/A</v>
      </c>
      <c r="P52" s="70" t="e">
        <v>#N/A</v>
      </c>
      <c r="Q52" s="76" t="e">
        <v>#N/A</v>
      </c>
      <c r="R52" s="339" t="e">
        <v>#N/A</v>
      </c>
      <c r="S52" s="333" t="e">
        <v>#N/A</v>
      </c>
      <c r="T52" s="125" t="e">
        <v>#N/A</v>
      </c>
      <c r="U52" s="334" t="e">
        <v>#N/A</v>
      </c>
      <c r="V52" t="e">
        <v>#N/A</v>
      </c>
    </row>
    <row r="53" spans="1:22" ht="13">
      <c r="A53" s="198" t="e">
        <v>#N/A</v>
      </c>
      <c r="B53" s="60" t="e">
        <v>#N/A</v>
      </c>
      <c r="C53" s="67" t="e">
        <v>#N/A</v>
      </c>
      <c r="D53" s="64" t="e">
        <v>#N/A</v>
      </c>
      <c r="E53" s="65" t="e">
        <v>#N/A</v>
      </c>
      <c r="F53" s="65" t="e">
        <v>#N/A</v>
      </c>
      <c r="G53" s="74" t="e">
        <v>#N/A</v>
      </c>
      <c r="H53" s="72" t="e">
        <v>#N/A</v>
      </c>
      <c r="I53" s="74" t="e">
        <v>#N/A</v>
      </c>
      <c r="J53" s="348" t="e">
        <v>#N/A</v>
      </c>
      <c r="K53" s="336" t="e">
        <v>#N/A</v>
      </c>
      <c r="L53" s="113" t="e">
        <v>#N/A</v>
      </c>
      <c r="M53" s="338" t="e">
        <v>#N/A</v>
      </c>
      <c r="N53" s="113" t="e">
        <v>#N/A</v>
      </c>
      <c r="O53" s="88" t="e">
        <v>#N/A</v>
      </c>
      <c r="P53" s="70" t="e">
        <v>#N/A</v>
      </c>
      <c r="Q53" s="76" t="e">
        <v>#N/A</v>
      </c>
      <c r="R53" s="339" t="e">
        <v>#N/A</v>
      </c>
      <c r="S53" s="333" t="e">
        <v>#N/A</v>
      </c>
      <c r="T53" s="74" t="e">
        <v>#N/A</v>
      </c>
      <c r="U53" s="334" t="e">
        <v>#N/A</v>
      </c>
      <c r="V53" t="e">
        <v>#N/A</v>
      </c>
    </row>
    <row r="54" spans="1:22" ht="13">
      <c r="A54" s="198" t="e">
        <v>#N/A</v>
      </c>
      <c r="B54" s="60" t="e">
        <v>#N/A</v>
      </c>
      <c r="C54" s="67" t="e">
        <v>#N/A</v>
      </c>
      <c r="D54" s="64" t="e">
        <v>#N/A</v>
      </c>
      <c r="E54" s="65" t="e">
        <v>#N/A</v>
      </c>
      <c r="F54" s="65" t="e">
        <v>#N/A</v>
      </c>
      <c r="G54" s="328" t="e">
        <v>#N/A</v>
      </c>
      <c r="H54" s="72" t="e">
        <v>#N/A</v>
      </c>
      <c r="I54" s="74" t="e">
        <v>#N/A</v>
      </c>
      <c r="J54" s="84" t="e">
        <v>#N/A</v>
      </c>
      <c r="K54" s="336" t="e">
        <v>#N/A</v>
      </c>
      <c r="L54" s="113" t="e">
        <v>#N/A</v>
      </c>
      <c r="M54" s="338" t="e">
        <v>#N/A</v>
      </c>
      <c r="N54" s="113" t="e">
        <v>#N/A</v>
      </c>
      <c r="O54" s="88" t="e">
        <v>#N/A</v>
      </c>
      <c r="P54" s="70" t="e">
        <v>#N/A</v>
      </c>
      <c r="Q54" s="76" t="e">
        <v>#N/A</v>
      </c>
      <c r="R54" s="339" t="e">
        <v>#N/A</v>
      </c>
      <c r="S54" s="333" t="e">
        <v>#N/A</v>
      </c>
      <c r="T54" s="125" t="e">
        <v>#N/A</v>
      </c>
      <c r="U54" s="334" t="e">
        <v>#N/A</v>
      </c>
      <c r="V54" t="e">
        <v>#N/A</v>
      </c>
    </row>
    <row r="55" spans="1:22" ht="13">
      <c r="A55" s="196" t="e">
        <v>#N/A</v>
      </c>
      <c r="B55" s="60" t="e">
        <v>#N/A</v>
      </c>
      <c r="C55" s="67" t="e">
        <v>#N/A</v>
      </c>
      <c r="D55" s="64" t="e">
        <v>#N/A</v>
      </c>
      <c r="E55" s="65" t="e">
        <v>#N/A</v>
      </c>
      <c r="F55" s="65" t="e">
        <v>#N/A</v>
      </c>
      <c r="G55" s="74" t="e">
        <v>#N/A</v>
      </c>
      <c r="H55" s="72" t="e">
        <v>#N/A</v>
      </c>
      <c r="I55" s="263" t="e">
        <v>#N/A</v>
      </c>
      <c r="J55" s="378" t="e">
        <v>#N/A</v>
      </c>
      <c r="K55" s="336" t="e">
        <v>#N/A</v>
      </c>
      <c r="L55" s="113" t="e">
        <v>#N/A</v>
      </c>
      <c r="M55" s="338" t="e">
        <v>#N/A</v>
      </c>
      <c r="N55" s="113" t="e">
        <v>#N/A</v>
      </c>
      <c r="O55" s="88" t="e">
        <v>#N/A</v>
      </c>
      <c r="P55" s="70" t="e">
        <v>#N/A</v>
      </c>
      <c r="Q55" s="76" t="e">
        <v>#N/A</v>
      </c>
      <c r="R55" s="339" t="e">
        <v>#N/A</v>
      </c>
      <c r="S55" s="333" t="e">
        <v>#N/A</v>
      </c>
      <c r="T55" s="74" t="e">
        <v>#N/A</v>
      </c>
      <c r="U55" s="334" t="e">
        <v>#N/A</v>
      </c>
      <c r="V55" t="e">
        <v>#N/A</v>
      </c>
    </row>
    <row r="56" spans="1:22" ht="13">
      <c r="A56" s="198" t="e">
        <v>#N/A</v>
      </c>
      <c r="B56" s="60" t="e">
        <v>#N/A</v>
      </c>
      <c r="C56" s="67" t="e">
        <v>#N/A</v>
      </c>
      <c r="D56" s="64" t="e">
        <v>#N/A</v>
      </c>
      <c r="E56" s="65" t="e">
        <v>#N/A</v>
      </c>
      <c r="F56" s="65" t="e">
        <v>#N/A</v>
      </c>
      <c r="G56" s="74" t="e">
        <v>#N/A</v>
      </c>
      <c r="H56" s="72" t="e">
        <v>#N/A</v>
      </c>
      <c r="I56" s="74" t="e">
        <v>#N/A</v>
      </c>
      <c r="J56" s="84" t="e">
        <v>#N/A</v>
      </c>
      <c r="K56" s="336" t="e">
        <v>#N/A</v>
      </c>
      <c r="L56" s="113" t="e">
        <v>#N/A</v>
      </c>
      <c r="M56" s="338" t="e">
        <v>#N/A</v>
      </c>
      <c r="N56" s="113" t="e">
        <v>#N/A</v>
      </c>
      <c r="O56" s="88" t="e">
        <v>#N/A</v>
      </c>
      <c r="P56" s="70" t="e">
        <v>#N/A</v>
      </c>
      <c r="Q56" s="76" t="e">
        <v>#N/A</v>
      </c>
      <c r="R56" s="339" t="e">
        <v>#N/A</v>
      </c>
      <c r="S56" s="333" t="e">
        <v>#N/A</v>
      </c>
      <c r="T56" s="74" t="e">
        <v>#N/A</v>
      </c>
      <c r="U56" s="334" t="e">
        <v>#N/A</v>
      </c>
      <c r="V56" t="e">
        <v>#N/A</v>
      </c>
    </row>
    <row r="57" spans="1:22" ht="13">
      <c r="A57" s="198" t="e">
        <v>#N/A</v>
      </c>
      <c r="B57" s="60" t="e">
        <v>#N/A</v>
      </c>
      <c r="C57" s="67" t="e">
        <v>#N/A</v>
      </c>
      <c r="D57" s="64" t="e">
        <v>#N/A</v>
      </c>
      <c r="E57" s="65" t="e">
        <v>#N/A</v>
      </c>
      <c r="F57" s="65" t="e">
        <v>#N/A</v>
      </c>
      <c r="G57" s="328" t="e">
        <v>#N/A</v>
      </c>
      <c r="H57" s="72" t="e">
        <v>#N/A</v>
      </c>
      <c r="I57" s="320" t="e">
        <v>#N/A</v>
      </c>
      <c r="J57" s="84" t="e">
        <v>#N/A</v>
      </c>
      <c r="K57" s="336" t="e">
        <v>#N/A</v>
      </c>
      <c r="L57" s="113" t="e">
        <v>#N/A</v>
      </c>
      <c r="M57" s="338" t="e">
        <v>#N/A</v>
      </c>
      <c r="N57" s="113" t="e">
        <v>#N/A</v>
      </c>
      <c r="O57" s="88" t="e">
        <v>#N/A</v>
      </c>
      <c r="P57" s="70" t="e">
        <v>#N/A</v>
      </c>
      <c r="Q57" s="76" t="e">
        <v>#N/A</v>
      </c>
      <c r="R57" s="339" t="e">
        <v>#N/A</v>
      </c>
      <c r="S57" s="333" t="e">
        <v>#N/A</v>
      </c>
      <c r="T57" s="334" t="e">
        <v>#N/A</v>
      </c>
      <c r="U57" s="334" t="e">
        <v>#N/A</v>
      </c>
      <c r="V57" t="e">
        <v>#N/A</v>
      </c>
    </row>
    <row r="58" spans="1:22" ht="13" hidden="1">
      <c r="A58" s="323" t="e">
        <v>#N/A</v>
      </c>
      <c r="B58" s="60" t="e">
        <v>#N/A</v>
      </c>
      <c r="C58" s="67" t="e">
        <v>#N/A</v>
      </c>
      <c r="D58" s="64" t="e">
        <v>#N/A</v>
      </c>
      <c r="E58" s="65" t="e">
        <v>#N/A</v>
      </c>
      <c r="F58" s="65" t="e">
        <v>#N/A</v>
      </c>
      <c r="G58" s="74" t="e">
        <v>#N/A</v>
      </c>
      <c r="H58" s="72" t="e">
        <v>#N/A</v>
      </c>
      <c r="I58" s="263" t="e">
        <v>#N/A</v>
      </c>
      <c r="J58" s="456" t="e">
        <v>#N/A</v>
      </c>
      <c r="K58" s="336" t="e">
        <v>#N/A</v>
      </c>
      <c r="L58" s="113" t="e">
        <v>#N/A</v>
      </c>
      <c r="M58" s="338" t="e">
        <v>#N/A</v>
      </c>
      <c r="N58" s="113" t="e">
        <v>#N/A</v>
      </c>
      <c r="O58" s="88" t="e">
        <v>#N/A</v>
      </c>
      <c r="P58" s="70" t="e">
        <v>#N/A</v>
      </c>
      <c r="Q58" s="76" t="e">
        <v>#N/A</v>
      </c>
      <c r="R58" s="339" t="e">
        <v>#N/A</v>
      </c>
      <c r="S58" s="333" t="e">
        <v>#N/A</v>
      </c>
      <c r="T58" s="125" t="e">
        <v>#N/A</v>
      </c>
      <c r="U58" s="334" t="e">
        <v>#N/A</v>
      </c>
      <c r="V58" t="e">
        <v>#N/A</v>
      </c>
    </row>
    <row r="59" spans="1:22" ht="13" hidden="1">
      <c r="A59" s="382" t="e">
        <v>#N/A</v>
      </c>
      <c r="B59" s="60" t="e">
        <v>#N/A</v>
      </c>
      <c r="C59" s="67" t="e">
        <v>#N/A</v>
      </c>
      <c r="D59" s="64" t="e">
        <v>#N/A</v>
      </c>
      <c r="E59" s="65" t="e">
        <v>#N/A</v>
      </c>
      <c r="F59" s="65" t="e">
        <v>#N/A</v>
      </c>
      <c r="G59" s="74" t="e">
        <v>#N/A</v>
      </c>
      <c r="H59" s="72" t="e">
        <v>#N/A</v>
      </c>
      <c r="I59" s="239" t="e">
        <v>#N/A</v>
      </c>
      <c r="J59" s="84" t="e">
        <v>#N/A</v>
      </c>
      <c r="K59" s="336" t="e">
        <v>#N/A</v>
      </c>
      <c r="L59" s="113" t="e">
        <v>#N/A</v>
      </c>
      <c r="M59" s="338" t="e">
        <v>#N/A</v>
      </c>
      <c r="N59" s="113" t="e">
        <v>#N/A</v>
      </c>
      <c r="O59" s="88" t="e">
        <v>#N/A</v>
      </c>
      <c r="P59" s="344" t="e">
        <v>#N/A</v>
      </c>
      <c r="Q59" s="76" t="e">
        <v>#N/A</v>
      </c>
      <c r="R59" s="341" t="e">
        <v>#N/A</v>
      </c>
      <c r="S59" s="333" t="e">
        <v>#N/A</v>
      </c>
      <c r="T59" s="333" t="e">
        <v>#N/A</v>
      </c>
      <c r="U59" s="334" t="e">
        <v>#N/A</v>
      </c>
      <c r="V59" t="e">
        <v>#N/A</v>
      </c>
    </row>
    <row r="60" spans="1:22" ht="13" hidden="1">
      <c r="A60" s="382" t="e">
        <v>#N/A</v>
      </c>
      <c r="B60" s="60" t="e">
        <v>#N/A</v>
      </c>
      <c r="C60" s="67" t="e">
        <v>#N/A</v>
      </c>
      <c r="D60" s="64" t="e">
        <v>#N/A</v>
      </c>
      <c r="E60" s="65" t="e">
        <v>#N/A</v>
      </c>
      <c r="F60" s="65" t="e">
        <v>#N/A</v>
      </c>
      <c r="G60" s="74" t="e">
        <v>#N/A</v>
      </c>
      <c r="H60" s="72" t="e">
        <v>#N/A</v>
      </c>
      <c r="I60" s="201" t="e">
        <v>#N/A</v>
      </c>
      <c r="J60" s="84" t="e">
        <v>#N/A</v>
      </c>
      <c r="K60" s="336" t="e">
        <v>#N/A</v>
      </c>
      <c r="L60" s="113" t="e">
        <v>#N/A</v>
      </c>
      <c r="M60" s="338" t="e">
        <v>#N/A</v>
      </c>
      <c r="N60" s="113" t="e">
        <v>#N/A</v>
      </c>
      <c r="O60" s="88" t="e">
        <v>#N/A</v>
      </c>
      <c r="P60" s="344" t="e">
        <v>#N/A</v>
      </c>
      <c r="Q60" s="76" t="e">
        <v>#N/A</v>
      </c>
      <c r="R60" s="488" t="e">
        <v>#N/A</v>
      </c>
      <c r="S60" s="333" t="e">
        <v>#N/A</v>
      </c>
      <c r="T60" s="74" t="e">
        <v>#N/A</v>
      </c>
      <c r="U60" t="e">
        <v>#N/A</v>
      </c>
      <c r="V60" t="e">
        <v>#N/A</v>
      </c>
    </row>
    <row r="61" spans="1:22" ht="13" hidden="1">
      <c r="A61" s="196" t="e">
        <v>#N/A</v>
      </c>
      <c r="B61" s="60" t="e">
        <v>#N/A</v>
      </c>
      <c r="C61" s="67" t="e">
        <v>#N/A</v>
      </c>
      <c r="D61" s="64" t="e">
        <v>#N/A</v>
      </c>
      <c r="E61" s="65" t="e">
        <v>#N/A</v>
      </c>
      <c r="F61" s="65" t="e">
        <v>#N/A</v>
      </c>
      <c r="G61" s="74" t="e">
        <v>#N/A</v>
      </c>
      <c r="H61" s="72" t="e">
        <v>#N/A</v>
      </c>
      <c r="I61" s="125" t="e">
        <v>#N/A</v>
      </c>
      <c r="J61" s="84" t="e">
        <v>#N/A</v>
      </c>
      <c r="K61" s="336" t="e">
        <v>#N/A</v>
      </c>
      <c r="L61" s="113" t="e">
        <v>#N/A</v>
      </c>
      <c r="M61" s="338" t="e">
        <v>#N/A</v>
      </c>
      <c r="N61" s="113" t="e">
        <v>#N/A</v>
      </c>
      <c r="O61" s="88" t="e">
        <v>#N/A</v>
      </c>
      <c r="P61" s="344" t="e">
        <v>#N/A</v>
      </c>
      <c r="Q61" s="76" t="e">
        <v>#N/A</v>
      </c>
      <c r="R61" s="341" t="e">
        <v>#N/A</v>
      </c>
      <c r="S61" s="333" t="e">
        <v>#N/A</v>
      </c>
      <c r="T61" s="333" t="e">
        <v>#N/A</v>
      </c>
      <c r="U61" s="334" t="e">
        <v>#N/A</v>
      </c>
      <c r="V61" t="e">
        <v>#N/A</v>
      </c>
    </row>
    <row r="62" spans="1:22" ht="13">
      <c r="A62" s="196" t="e">
        <v>#N/A</v>
      </c>
      <c r="B62" s="60" t="e">
        <v>#N/A</v>
      </c>
      <c r="C62" s="67" t="e">
        <v>#N/A</v>
      </c>
      <c r="D62" s="64" t="e">
        <v>#N/A</v>
      </c>
      <c r="E62" s="65" t="e">
        <v>#N/A</v>
      </c>
      <c r="F62" s="65" t="e">
        <v>#N/A</v>
      </c>
      <c r="G62" s="74" t="e">
        <v>#N/A</v>
      </c>
      <c r="H62" s="72" t="e">
        <v>#N/A</v>
      </c>
      <c r="I62" s="74" t="e">
        <v>#N/A</v>
      </c>
      <c r="J62" s="84" t="e">
        <v>#N/A</v>
      </c>
      <c r="K62" s="336" t="e">
        <v>#N/A</v>
      </c>
      <c r="L62" s="113" t="e">
        <v>#N/A</v>
      </c>
      <c r="M62" s="338" t="e">
        <v>#N/A</v>
      </c>
      <c r="N62" s="113" t="e">
        <v>#N/A</v>
      </c>
      <c r="O62" s="88" t="e">
        <v>#N/A</v>
      </c>
      <c r="P62" s="70" t="e">
        <v>#N/A</v>
      </c>
      <c r="Q62" s="76" t="e">
        <v>#N/A</v>
      </c>
      <c r="R62" s="339" t="e">
        <v>#N/A</v>
      </c>
      <c r="S62" s="333" t="e">
        <v>#N/A</v>
      </c>
      <c r="T62" s="333" t="e">
        <v>#N/A</v>
      </c>
      <c r="U62" s="334" t="e">
        <v>#N/A</v>
      </c>
      <c r="V62" t="e">
        <v>#N/A</v>
      </c>
    </row>
    <row r="63" spans="1:22" ht="13">
      <c r="A63" s="382" t="e">
        <v>#N/A</v>
      </c>
      <c r="B63" s="60" t="e">
        <v>#N/A</v>
      </c>
      <c r="C63" s="67" t="e">
        <v>#N/A</v>
      </c>
      <c r="D63" s="64" t="e">
        <v>#N/A</v>
      </c>
      <c r="E63" s="65" t="e">
        <v>#N/A</v>
      </c>
      <c r="F63" s="65" t="e">
        <v>#N/A</v>
      </c>
      <c r="G63" s="74" t="e">
        <v>#N/A</v>
      </c>
      <c r="H63" s="269" t="e">
        <v>#N/A</v>
      </c>
      <c r="I63" s="74" t="e">
        <v>#N/A</v>
      </c>
      <c r="J63" s="84" t="e">
        <v>#N/A</v>
      </c>
      <c r="K63" s="336" t="e">
        <v>#N/A</v>
      </c>
      <c r="L63" s="113" t="e">
        <v>#N/A</v>
      </c>
      <c r="M63" s="338" t="e">
        <v>#N/A</v>
      </c>
      <c r="N63" s="113" t="e">
        <v>#N/A</v>
      </c>
      <c r="O63" s="88" t="e">
        <v>#N/A</v>
      </c>
      <c r="P63" s="70" t="e">
        <v>#N/A</v>
      </c>
      <c r="Q63" s="76" t="e">
        <v>#N/A</v>
      </c>
      <c r="R63" s="488" t="e">
        <v>#N/A</v>
      </c>
      <c r="S63" s="333" t="e">
        <v>#N/A</v>
      </c>
      <c r="T63" s="125" t="e">
        <v>#N/A</v>
      </c>
      <c r="U63" s="334" t="e">
        <v>#N/A</v>
      </c>
      <c r="V63" t="e">
        <v>#N/A</v>
      </c>
    </row>
    <row r="64" spans="1:22" ht="13">
      <c r="A64" s="382" t="e">
        <v>#N/A</v>
      </c>
      <c r="B64" s="60" t="e">
        <v>#N/A</v>
      </c>
      <c r="C64" s="67" t="e">
        <v>#N/A</v>
      </c>
      <c r="D64" s="64" t="e">
        <v>#N/A</v>
      </c>
      <c r="E64" s="65" t="e">
        <v>#N/A</v>
      </c>
      <c r="F64" s="65" t="e">
        <v>#N/A</v>
      </c>
      <c r="G64" s="74" t="e">
        <v>#N/A</v>
      </c>
      <c r="H64" s="72" t="e">
        <v>#N/A</v>
      </c>
      <c r="I64" s="74" t="e">
        <v>#N/A</v>
      </c>
      <c r="J64" s="348" t="e">
        <v>#N/A</v>
      </c>
      <c r="K64" s="336" t="e">
        <v>#N/A</v>
      </c>
      <c r="L64" s="113" t="e">
        <v>#N/A</v>
      </c>
      <c r="M64" s="338" t="e">
        <v>#N/A</v>
      </c>
      <c r="N64" s="113" t="e">
        <v>#N/A</v>
      </c>
      <c r="O64" s="88" t="e">
        <v>#N/A</v>
      </c>
      <c r="P64" s="70" t="e">
        <v>#N/A</v>
      </c>
      <c r="Q64" s="76" t="e">
        <v>#N/A</v>
      </c>
      <c r="R64" s="339" t="e">
        <v>#N/A</v>
      </c>
      <c r="S64" s="333" t="e">
        <v>#N/A</v>
      </c>
      <c r="T64" s="125" t="e">
        <v>#N/A</v>
      </c>
      <c r="U64" s="334" t="e">
        <v>#N/A</v>
      </c>
      <c r="V64" t="e">
        <v>#N/A</v>
      </c>
    </row>
    <row r="65" spans="1:22" ht="13">
      <c r="A65" s="198" t="e">
        <v>#N/A</v>
      </c>
      <c r="B65" s="60" t="e">
        <v>#N/A</v>
      </c>
      <c r="C65" s="67" t="e">
        <v>#N/A</v>
      </c>
      <c r="D65" s="64" t="e">
        <v>#N/A</v>
      </c>
      <c r="E65" s="65" t="e">
        <v>#N/A</v>
      </c>
      <c r="F65" s="65" t="e">
        <v>#N/A</v>
      </c>
      <c r="G65" s="74" t="e">
        <v>#N/A</v>
      </c>
      <c r="H65" s="72" t="e">
        <v>#N/A</v>
      </c>
      <c r="I65" s="74" t="e">
        <v>#N/A</v>
      </c>
      <c r="J65" s="348" t="e">
        <v>#N/A</v>
      </c>
      <c r="K65" s="336" t="e">
        <v>#N/A</v>
      </c>
      <c r="L65" s="113" t="e">
        <v>#N/A</v>
      </c>
      <c r="M65" s="338" t="e">
        <v>#N/A</v>
      </c>
      <c r="N65" s="113" t="e">
        <v>#N/A</v>
      </c>
      <c r="O65" s="88" t="e">
        <v>#N/A</v>
      </c>
      <c r="P65" s="70" t="e">
        <v>#N/A</v>
      </c>
      <c r="Q65" s="76" t="e">
        <v>#N/A</v>
      </c>
      <c r="R65" s="339" t="e">
        <v>#N/A</v>
      </c>
      <c r="S65" s="333" t="e">
        <v>#N/A</v>
      </c>
      <c r="T65" s="74" t="e">
        <v>#N/A</v>
      </c>
      <c r="U65" s="334" t="e">
        <v>#N/A</v>
      </c>
      <c r="V65" t="e">
        <v>#N/A</v>
      </c>
    </row>
    <row r="66" spans="1:22" ht="13">
      <c r="A66" s="526" t="e">
        <v>#N/A</v>
      </c>
      <c r="B66" s="60" t="e">
        <v>#N/A</v>
      </c>
      <c r="C66" s="67" t="e">
        <v>#N/A</v>
      </c>
      <c r="D66" s="64" t="e">
        <v>#N/A</v>
      </c>
      <c r="E66" s="65" t="e">
        <v>#N/A</v>
      </c>
      <c r="F66" s="65" t="e">
        <v>#N/A</v>
      </c>
      <c r="G66" s="74" t="e">
        <v>#N/A</v>
      </c>
      <c r="H66" s="72" t="e">
        <v>#N/A</v>
      </c>
      <c r="I66" s="74" t="e">
        <v>#N/A</v>
      </c>
      <c r="J66" s="84" t="e">
        <v>#N/A</v>
      </c>
      <c r="K66" s="113" t="e">
        <v>#N/A</v>
      </c>
      <c r="L66" s="113" t="e">
        <v>#N/A</v>
      </c>
      <c r="M66" s="113" t="e">
        <v>#N/A</v>
      </c>
      <c r="N66" s="113" t="e">
        <v>#N/A</v>
      </c>
      <c r="O66" s="88" t="e">
        <v>#N/A</v>
      </c>
      <c r="P66" s="344" t="e">
        <v>#N/A</v>
      </c>
      <c r="Q66" s="76" t="e">
        <v>#N/A</v>
      </c>
      <c r="R66" s="339" t="e">
        <v>#N/A</v>
      </c>
      <c r="S66" s="333" t="e">
        <v>#N/A</v>
      </c>
      <c r="T66" s="125" t="e">
        <v>#N/A</v>
      </c>
      <c r="U66" s="334" t="e">
        <v>#N/A</v>
      </c>
      <c r="V66" t="e">
        <v>#N/A</v>
      </c>
    </row>
    <row r="67" spans="1:22" ht="13">
      <c r="A67" s="323" t="e">
        <v>#N/A</v>
      </c>
      <c r="B67" s="60" t="e">
        <v>#N/A</v>
      </c>
      <c r="C67" s="67" t="e">
        <v>#N/A</v>
      </c>
      <c r="D67" s="64" t="e">
        <v>#N/A</v>
      </c>
      <c r="E67" s="463" t="e">
        <v>#N/A</v>
      </c>
      <c r="F67" s="463" t="e">
        <v>#N/A</v>
      </c>
      <c r="G67" s="328" t="e">
        <v>#N/A</v>
      </c>
      <c r="H67" s="72" t="e">
        <v>#N/A</v>
      </c>
      <c r="I67" s="74" t="e">
        <v>#N/A</v>
      </c>
      <c r="J67" s="84" t="e">
        <v>#N/A</v>
      </c>
      <c r="K67" s="113" t="e">
        <v>#N/A</v>
      </c>
      <c r="L67" s="113" t="e">
        <v>#N/A</v>
      </c>
      <c r="M67" s="113" t="e">
        <v>#N/A</v>
      </c>
      <c r="N67" s="113" t="e">
        <v>#N/A</v>
      </c>
      <c r="O67" s="88" t="e">
        <v>#N/A</v>
      </c>
      <c r="P67" s="70" t="e">
        <v>#N/A</v>
      </c>
      <c r="Q67" s="76" t="e">
        <v>#N/A</v>
      </c>
      <c r="R67" s="112" t="e">
        <v>#N/A</v>
      </c>
      <c r="S67" s="74" t="e">
        <v>#N/A</v>
      </c>
      <c r="T67" s="125" t="e">
        <v>#N/A</v>
      </c>
      <c r="U67" t="e">
        <v>#N/A</v>
      </c>
      <c r="V67" t="e">
        <v>#N/A</v>
      </c>
    </row>
    <row r="68" spans="1:22" ht="13">
      <c r="A68" s="323" t="e">
        <v>#N/A</v>
      </c>
      <c r="B68" s="60" t="e">
        <v>#N/A</v>
      </c>
      <c r="C68" s="67" t="e">
        <v>#N/A</v>
      </c>
      <c r="D68" s="64" t="e">
        <v>#N/A</v>
      </c>
      <c r="E68" s="463" t="e">
        <v>#N/A</v>
      </c>
      <c r="F68" s="463" t="e">
        <v>#N/A</v>
      </c>
      <c r="G68" s="74" t="e">
        <v>#N/A</v>
      </c>
      <c r="H68" s="72" t="e">
        <v>#N/A</v>
      </c>
      <c r="I68" s="74" t="e">
        <v>#N/A</v>
      </c>
      <c r="J68" s="84" t="e">
        <v>#N/A</v>
      </c>
      <c r="K68" s="113" t="e">
        <v>#N/A</v>
      </c>
      <c r="L68" s="113" t="e">
        <v>#N/A</v>
      </c>
      <c r="M68" s="113" t="e">
        <v>#N/A</v>
      </c>
      <c r="N68" s="113" t="e">
        <v>#N/A</v>
      </c>
      <c r="O68" s="88" t="e">
        <v>#N/A</v>
      </c>
      <c r="P68" s="70" t="e">
        <v>#N/A</v>
      </c>
      <c r="Q68" s="76" t="e">
        <v>#N/A</v>
      </c>
      <c r="R68" s="339" t="e">
        <v>#N/A</v>
      </c>
      <c r="S68" s="333" t="e">
        <v>#N/A</v>
      </c>
      <c r="T68" s="125" t="e">
        <v>#N/A</v>
      </c>
      <c r="U68" s="334" t="e">
        <v>#N/A</v>
      </c>
      <c r="V68" t="e">
        <v>#N/A</v>
      </c>
    </row>
    <row r="69" spans="1:22" ht="13" hidden="1">
      <c r="A69" s="196" t="e">
        <v>#N/A</v>
      </c>
      <c r="B69" s="60" t="e">
        <v>#N/A</v>
      </c>
      <c r="C69" s="67" t="e">
        <v>#N/A</v>
      </c>
      <c r="D69" s="64" t="e">
        <v>#N/A</v>
      </c>
      <c r="E69" s="65" t="e">
        <v>#N/A</v>
      </c>
      <c r="F69" s="65" t="e">
        <v>#N/A</v>
      </c>
      <c r="G69" s="328" t="e">
        <v>#N/A</v>
      </c>
      <c r="H69" s="72" t="e">
        <v>#N/A</v>
      </c>
      <c r="I69" s="74" t="e">
        <v>#N/A</v>
      </c>
      <c r="J69" s="84" t="e">
        <v>#N/A</v>
      </c>
      <c r="K69" s="113" t="e">
        <v>#N/A</v>
      </c>
      <c r="L69" s="113" t="e">
        <v>#N/A</v>
      </c>
      <c r="M69" s="113" t="e">
        <v>#N/A</v>
      </c>
      <c r="N69" s="113" t="e">
        <v>#N/A</v>
      </c>
      <c r="O69" s="88" t="e">
        <v>#N/A</v>
      </c>
      <c r="P69" s="70" t="e">
        <v>#N/A</v>
      </c>
      <c r="Q69" s="76" t="e">
        <v>#N/A</v>
      </c>
      <c r="R69" s="339" t="e">
        <v>#N/A</v>
      </c>
      <c r="S69" s="333" t="e">
        <v>#N/A</v>
      </c>
      <c r="T69" s="340" t="e">
        <v>#N/A</v>
      </c>
      <c r="U69" s="334" t="e">
        <v>#N/A</v>
      </c>
      <c r="V69" t="e">
        <v>#N/A</v>
      </c>
    </row>
    <row r="70" spans="1:22" ht="13" hidden="1">
      <c r="A70" s="196" t="e">
        <v>#N/A</v>
      </c>
      <c r="B70" s="60" t="e">
        <v>#N/A</v>
      </c>
      <c r="C70" s="67" t="e">
        <v>#N/A</v>
      </c>
      <c r="D70" s="64" t="e">
        <v>#N/A</v>
      </c>
      <c r="E70" s="65" t="e">
        <v>#N/A</v>
      </c>
      <c r="F70" s="65" t="e">
        <v>#N/A</v>
      </c>
      <c r="G70" s="74" t="e">
        <v>#N/A</v>
      </c>
      <c r="H70" s="72" t="e">
        <v>#N/A</v>
      </c>
      <c r="I70" s="263" t="e">
        <v>#N/A</v>
      </c>
      <c r="J70" s="84" t="e">
        <v>#N/A</v>
      </c>
      <c r="K70" s="336" t="e">
        <v>#N/A</v>
      </c>
      <c r="L70" s="113" t="e">
        <v>#N/A</v>
      </c>
      <c r="M70" s="338" t="e">
        <v>#N/A</v>
      </c>
      <c r="N70" s="113" t="e">
        <v>#N/A</v>
      </c>
      <c r="O70" s="88" t="e">
        <v>#N/A</v>
      </c>
      <c r="P70" s="344" t="e">
        <v>#N/A</v>
      </c>
      <c r="Q70" s="76" t="e">
        <v>#N/A</v>
      </c>
      <c r="R70" s="339" t="e">
        <v>#N/A</v>
      </c>
      <c r="S70" s="333" t="e">
        <v>#N/A</v>
      </c>
      <c r="T70" s="74" t="e">
        <v>#N/A</v>
      </c>
      <c r="U70" s="334" t="e">
        <v>#N/A</v>
      </c>
      <c r="V70" t="e">
        <v>#N/A</v>
      </c>
    </row>
    <row r="71" spans="1:22" ht="13" hidden="1">
      <c r="A71" s="323" t="e">
        <v>#N/A</v>
      </c>
      <c r="B71" s="60" t="e">
        <v>#N/A</v>
      </c>
      <c r="C71" s="67" t="e">
        <v>#N/A</v>
      </c>
      <c r="D71" s="64" t="e">
        <v>#N/A</v>
      </c>
      <c r="E71" s="65" t="e">
        <v>#N/A</v>
      </c>
      <c r="F71" s="65" t="e">
        <v>#N/A</v>
      </c>
      <c r="G71" s="74" t="e">
        <v>#N/A</v>
      </c>
      <c r="H71" s="72" t="e">
        <v>#N/A</v>
      </c>
      <c r="I71" s="239" t="e">
        <v>#N/A</v>
      </c>
      <c r="J71" s="84" t="e">
        <v>#N/A</v>
      </c>
      <c r="K71" s="336" t="e">
        <v>#N/A</v>
      </c>
      <c r="L71" s="113" t="e">
        <v>#N/A</v>
      </c>
      <c r="M71" s="338" t="e">
        <v>#N/A</v>
      </c>
      <c r="N71" s="113" t="e">
        <v>#N/A</v>
      </c>
      <c r="O71" s="88" t="e">
        <v>#N/A</v>
      </c>
      <c r="P71" s="344" t="e">
        <v>#N/A</v>
      </c>
      <c r="Q71" s="76" t="e">
        <v>#N/A</v>
      </c>
      <c r="R71" s="339" t="e">
        <v>#N/A</v>
      </c>
      <c r="S71" s="333" t="e">
        <v>#N/A</v>
      </c>
      <c r="T71" s="333" t="e">
        <v>#N/A</v>
      </c>
      <c r="U71" s="334" t="e">
        <v>#N/A</v>
      </c>
      <c r="V71" t="e">
        <v>#N/A</v>
      </c>
    </row>
    <row r="72" spans="1:22" ht="13" hidden="1">
      <c r="A72" s="323" t="e">
        <v>#N/A</v>
      </c>
      <c r="B72" s="60" t="e">
        <v>#N/A</v>
      </c>
      <c r="C72" s="67" t="e">
        <v>#N/A</v>
      </c>
      <c r="D72" s="64" t="e">
        <v>#N/A</v>
      </c>
      <c r="E72" s="65" t="e">
        <v>#N/A</v>
      </c>
      <c r="F72" s="65" t="e">
        <v>#N/A</v>
      </c>
      <c r="G72" s="74" t="e">
        <v>#N/A</v>
      </c>
      <c r="H72" s="72" t="e">
        <v>#N/A</v>
      </c>
      <c r="I72" s="263" t="e">
        <v>#N/A</v>
      </c>
      <c r="J72" s="378" t="e">
        <v>#N/A</v>
      </c>
      <c r="K72" s="336" t="e">
        <v>#N/A</v>
      </c>
      <c r="L72" s="113" t="e">
        <v>#N/A</v>
      </c>
      <c r="M72" s="338" t="e">
        <v>#N/A</v>
      </c>
      <c r="N72" s="113" t="e">
        <v>#N/A</v>
      </c>
      <c r="O72" s="88" t="e">
        <v>#N/A</v>
      </c>
      <c r="P72" s="70" t="e">
        <v>#N/A</v>
      </c>
      <c r="Q72" s="76" t="e">
        <v>#N/A</v>
      </c>
      <c r="R72" s="339" t="e">
        <v>#N/A</v>
      </c>
      <c r="S72" s="333" t="e">
        <v>#N/A</v>
      </c>
      <c r="T72" s="74" t="e">
        <v>#N/A</v>
      </c>
      <c r="U72" s="334" t="e">
        <v>#N/A</v>
      </c>
      <c r="V72" t="e">
        <v>#N/A</v>
      </c>
    </row>
    <row r="73" spans="1:22" ht="13" hidden="1">
      <c r="A73" s="382" t="e">
        <v>#N/A</v>
      </c>
      <c r="B73" s="60" t="e">
        <v>#N/A</v>
      </c>
      <c r="C73" s="67" t="e">
        <v>#N/A</v>
      </c>
      <c r="D73" s="64" t="e">
        <v>#N/A</v>
      </c>
      <c r="E73" s="65" t="e">
        <v>#N/A</v>
      </c>
      <c r="F73" s="65" t="e">
        <v>#N/A</v>
      </c>
      <c r="G73" s="74" t="e">
        <v>#N/A</v>
      </c>
      <c r="H73" s="72" t="e">
        <v>#N/A</v>
      </c>
      <c r="I73" s="239" t="e">
        <v>#N/A</v>
      </c>
      <c r="J73" s="84" t="e">
        <v>#N/A</v>
      </c>
      <c r="K73" s="336" t="e">
        <v>#N/A</v>
      </c>
      <c r="L73" s="113" t="e">
        <v>#N/A</v>
      </c>
      <c r="M73" s="338" t="e">
        <v>#N/A</v>
      </c>
      <c r="N73" s="113" t="e">
        <v>#N/A</v>
      </c>
      <c r="O73" s="88" t="e">
        <v>#N/A</v>
      </c>
      <c r="P73" s="344" t="e">
        <v>#N/A</v>
      </c>
      <c r="Q73" s="76" t="e">
        <v>#N/A</v>
      </c>
      <c r="R73" s="341" t="e">
        <v>#N/A</v>
      </c>
      <c r="S73" s="333" t="e">
        <v>#N/A</v>
      </c>
      <c r="T73" s="74" t="e">
        <v>#N/A</v>
      </c>
      <c r="U73" s="334" t="e">
        <v>#N/A</v>
      </c>
      <c r="V73" t="e">
        <v>#N/A</v>
      </c>
    </row>
    <row r="74" spans="1:22" ht="15.75" customHeight="1">
      <c r="A74" s="323" t="e">
        <v>#N/A</v>
      </c>
      <c r="B74" s="60" t="e">
        <v>#N/A</v>
      </c>
      <c r="C74" s="67" t="e">
        <v>#N/A</v>
      </c>
      <c r="D74" s="64" t="e">
        <v>#N/A</v>
      </c>
      <c r="E74" s="65" t="e">
        <v>#N/A</v>
      </c>
      <c r="F74" s="65" t="e">
        <v>#N/A</v>
      </c>
      <c r="G74" s="74" t="e">
        <v>#N/A</v>
      </c>
      <c r="H74" s="278" t="e">
        <v>#N/A</v>
      </c>
      <c r="I74" s="74" t="e">
        <v>#N/A</v>
      </c>
      <c r="J74" s="84" t="e">
        <v>#N/A</v>
      </c>
      <c r="K74" s="336" t="e">
        <v>#N/A</v>
      </c>
      <c r="L74" s="113" t="e">
        <v>#N/A</v>
      </c>
      <c r="M74" s="338" t="e">
        <v>#N/A</v>
      </c>
      <c r="N74" s="113" t="e">
        <v>#N/A</v>
      </c>
      <c r="O74" s="88" t="e">
        <v>#N/A</v>
      </c>
      <c r="P74" s="70" t="e">
        <v>#N/A</v>
      </c>
      <c r="Q74" s="76" t="e">
        <v>#N/A</v>
      </c>
      <c r="R74" s="112" t="e">
        <v>#N/A</v>
      </c>
      <c r="S74" s="74" t="e">
        <v>#N/A</v>
      </c>
      <c r="T74" s="125" t="e">
        <v>#N/A</v>
      </c>
      <c r="U74" t="e">
        <v>#N/A</v>
      </c>
      <c r="V74" t="e">
        <v>#N/A</v>
      </c>
    </row>
    <row r="75" spans="1:22" ht="13" hidden="1">
      <c r="A75" s="382" t="e">
        <v>#N/A</v>
      </c>
      <c r="B75" s="60" t="e">
        <v>#N/A</v>
      </c>
      <c r="C75" s="67" t="e">
        <v>#N/A</v>
      </c>
      <c r="D75" s="64" t="e">
        <v>#N/A</v>
      </c>
      <c r="E75" s="65" t="e">
        <v>#N/A</v>
      </c>
      <c r="F75" s="65" t="e">
        <v>#N/A</v>
      </c>
      <c r="G75" s="328" t="e">
        <v>#N/A</v>
      </c>
      <c r="H75" s="72" t="e">
        <v>#N/A</v>
      </c>
      <c r="I75" s="263" t="e">
        <v>#N/A</v>
      </c>
      <c r="J75" s="84" t="e">
        <v>#N/A</v>
      </c>
      <c r="K75" s="113" t="e">
        <v>#N/A</v>
      </c>
      <c r="L75" s="113" t="e">
        <v>#N/A</v>
      </c>
      <c r="M75" s="338" t="e">
        <v>#N/A</v>
      </c>
      <c r="N75" s="113" t="e">
        <v>#N/A</v>
      </c>
      <c r="O75" s="88" t="e">
        <v>#N/A</v>
      </c>
      <c r="P75" s="70" t="e">
        <v>#N/A</v>
      </c>
      <c r="Q75" s="76" t="e">
        <v>#N/A</v>
      </c>
      <c r="R75" s="339" t="e">
        <v>#N/A</v>
      </c>
      <c r="S75" s="333" t="e">
        <v>#N/A</v>
      </c>
      <c r="T75" s="74" t="e">
        <v>#N/A</v>
      </c>
      <c r="U75" s="334" t="e">
        <v>#N/A</v>
      </c>
      <c r="V75" t="e">
        <v>#N/A</v>
      </c>
    </row>
    <row r="76" spans="1:22" ht="13">
      <c r="A76" s="198" t="e">
        <v>#N/A</v>
      </c>
      <c r="B76" s="60" t="e">
        <v>#N/A</v>
      </c>
      <c r="C76" s="67" t="e">
        <v>#N/A</v>
      </c>
      <c r="D76" s="64" t="e">
        <v>#N/A</v>
      </c>
      <c r="E76" s="65" t="e">
        <v>#N/A</v>
      </c>
      <c r="F76" s="65" t="e">
        <v>#N/A</v>
      </c>
      <c r="G76" s="74" t="e">
        <v>#N/A</v>
      </c>
      <c r="H76" s="236" t="e">
        <v>#N/A</v>
      </c>
      <c r="I76" s="239" t="e">
        <v>#N/A</v>
      </c>
      <c r="J76" s="84" t="e">
        <v>#N/A</v>
      </c>
      <c r="K76" s="336" t="e">
        <v>#N/A</v>
      </c>
      <c r="L76" s="113" t="e">
        <v>#N/A</v>
      </c>
      <c r="M76" s="338" t="e">
        <v>#N/A</v>
      </c>
      <c r="N76" s="113" t="e">
        <v>#N/A</v>
      </c>
      <c r="O76" s="292" t="e">
        <v>#N/A</v>
      </c>
      <c r="P76" s="70" t="e">
        <v>#N/A</v>
      </c>
      <c r="Q76" s="76" t="e">
        <v>#N/A</v>
      </c>
      <c r="R76" s="339" t="e">
        <v>#N/A</v>
      </c>
      <c r="S76" s="74" t="e">
        <v>#N/A</v>
      </c>
      <c r="T76" s="125" t="e">
        <v>#N/A</v>
      </c>
      <c r="U76" s="334" t="e">
        <v>#N/A</v>
      </c>
      <c r="V76" t="e">
        <v>#N/A</v>
      </c>
    </row>
    <row r="77" spans="1:22" ht="13">
      <c r="A77" s="382" t="e">
        <v>#N/A</v>
      </c>
      <c r="B77" s="60" t="e">
        <v>#N/A</v>
      </c>
      <c r="C77" s="67" t="e">
        <v>#N/A</v>
      </c>
      <c r="D77" s="64" t="e">
        <v>#N/A</v>
      </c>
      <c r="E77" s="65" t="e">
        <v>#N/A</v>
      </c>
      <c r="F77" s="65" t="e">
        <v>#N/A</v>
      </c>
      <c r="G77" s="74" t="e">
        <v>#N/A</v>
      </c>
      <c r="H77" s="236" t="e">
        <v>#N/A</v>
      </c>
      <c r="I77" s="74" t="e">
        <v>#N/A</v>
      </c>
      <c r="J77" s="378" t="e">
        <v>#N/A</v>
      </c>
      <c r="K77" s="336" t="e">
        <v>#N/A</v>
      </c>
      <c r="L77" s="113" t="e">
        <v>#N/A</v>
      </c>
      <c r="M77" s="338" t="e">
        <v>#N/A</v>
      </c>
      <c r="N77" s="113" t="e">
        <v>#N/A</v>
      </c>
      <c r="O77" s="88" t="e">
        <v>#N/A</v>
      </c>
      <c r="P77" s="70" t="e">
        <v>#N/A</v>
      </c>
      <c r="Q77" s="76" t="e">
        <v>#N/A</v>
      </c>
      <c r="R77" s="339" t="e">
        <v>#N/A</v>
      </c>
      <c r="S77" s="333" t="e">
        <v>#N/A</v>
      </c>
      <c r="T77" s="125" t="e">
        <v>#N/A</v>
      </c>
      <c r="U77" s="334" t="e">
        <v>#N/A</v>
      </c>
      <c r="V77" t="e">
        <v>#N/A</v>
      </c>
    </row>
    <row r="78" spans="1:22" ht="13" hidden="1">
      <c r="A78" s="196" t="e">
        <v>#N/A</v>
      </c>
      <c r="B78" s="60" t="e">
        <v>#N/A</v>
      </c>
      <c r="C78" s="67" t="e">
        <v>#N/A</v>
      </c>
      <c r="D78" s="64" t="e">
        <v>#N/A</v>
      </c>
      <c r="E78" s="65" t="e">
        <v>#N/A</v>
      </c>
      <c r="F78" s="65" t="e">
        <v>#N/A</v>
      </c>
      <c r="G78" s="74" t="e">
        <v>#N/A</v>
      </c>
      <c r="H78" s="72" t="e">
        <v>#N/A</v>
      </c>
      <c r="I78" s="74" t="e">
        <v>#N/A</v>
      </c>
      <c r="J78" s="84" t="e">
        <v>#N/A</v>
      </c>
      <c r="K78" s="336" t="e">
        <v>#N/A</v>
      </c>
      <c r="L78" s="113" t="e">
        <v>#N/A</v>
      </c>
      <c r="M78" s="338" t="e">
        <v>#N/A</v>
      </c>
      <c r="N78" s="113" t="e">
        <v>#N/A</v>
      </c>
      <c r="O78" s="88" t="e">
        <v>#N/A</v>
      </c>
      <c r="P78" s="344" t="e">
        <v>#N/A</v>
      </c>
      <c r="Q78" s="76" t="e">
        <v>#N/A</v>
      </c>
      <c r="R78" s="339" t="e">
        <v>#N/A</v>
      </c>
      <c r="S78" s="333" t="e">
        <v>#N/A</v>
      </c>
      <c r="T78" s="125" t="e">
        <v>#N/A</v>
      </c>
      <c r="U78" s="334" t="e">
        <v>#N/A</v>
      </c>
      <c r="V78" t="e">
        <v>#N/A</v>
      </c>
    </row>
    <row r="79" spans="1:22" ht="13" hidden="1">
      <c r="A79" s="469" t="e">
        <v>#N/A</v>
      </c>
      <c r="B79" s="60" t="e">
        <v>#N/A</v>
      </c>
      <c r="C79" s="67" t="e">
        <v>#N/A</v>
      </c>
      <c r="D79" s="64" t="e">
        <v>#N/A</v>
      </c>
      <c r="E79" s="65" t="e">
        <v>#N/A</v>
      </c>
      <c r="F79" s="65" t="e">
        <v>#N/A</v>
      </c>
      <c r="G79" s="74" t="e">
        <v>#N/A</v>
      </c>
      <c r="H79" s="244" t="e">
        <v>#N/A</v>
      </c>
      <c r="I79" s="320" t="e">
        <v>#N/A</v>
      </c>
      <c r="J79" s="84" t="e">
        <v>#N/A</v>
      </c>
      <c r="K79" s="113" t="e">
        <v>#N/A</v>
      </c>
      <c r="L79" s="113" t="e">
        <v>#N/A</v>
      </c>
      <c r="M79" s="338" t="e">
        <v>#N/A</v>
      </c>
      <c r="N79" s="113" t="e">
        <v>#N/A</v>
      </c>
      <c r="O79" s="88" t="e">
        <v>#N/A</v>
      </c>
      <c r="P79" s="344" t="e">
        <v>#N/A</v>
      </c>
      <c r="Q79" s="76" t="e">
        <v>#N/A</v>
      </c>
      <c r="R79" s="341" t="e">
        <v>#N/A</v>
      </c>
      <c r="S79" s="333" t="e">
        <v>#N/A</v>
      </c>
      <c r="T79" s="333" t="e">
        <v>#N/A</v>
      </c>
      <c r="U79" s="334" t="e">
        <v>#N/A</v>
      </c>
      <c r="V79" t="e">
        <v>#N/A</v>
      </c>
    </row>
    <row r="80" spans="1:22" ht="13" hidden="1">
      <c r="A80" s="382" t="e">
        <v>#N/A</v>
      </c>
      <c r="B80" s="60" t="e">
        <v>#N/A</v>
      </c>
      <c r="C80" s="67" t="e">
        <v>#N/A</v>
      </c>
      <c r="D80" s="64" t="e">
        <v>#N/A</v>
      </c>
      <c r="E80" s="65" t="e">
        <v>#N/A</v>
      </c>
      <c r="F80" s="65" t="e">
        <v>#N/A</v>
      </c>
      <c r="G80" s="74" t="e">
        <v>#N/A</v>
      </c>
      <c r="H80" s="72" t="e">
        <v>#N/A</v>
      </c>
      <c r="I80" s="320" t="e">
        <v>#N/A</v>
      </c>
      <c r="J80" s="84" t="e">
        <v>#N/A</v>
      </c>
      <c r="K80" s="113" t="e">
        <v>#N/A</v>
      </c>
      <c r="L80" s="113" t="e">
        <v>#N/A</v>
      </c>
      <c r="M80" s="338" t="e">
        <v>#N/A</v>
      </c>
      <c r="N80" s="113" t="e">
        <v>#N/A</v>
      </c>
      <c r="O80" s="88" t="e">
        <v>#N/A</v>
      </c>
      <c r="P80" s="344" t="e">
        <v>#N/A</v>
      </c>
      <c r="Q80" s="76" t="e">
        <v>#N/A</v>
      </c>
      <c r="R80" s="341" t="e">
        <v>#N/A</v>
      </c>
      <c r="S80" s="333" t="e">
        <v>#N/A</v>
      </c>
      <c r="T80" s="74" t="e">
        <v>#N/A</v>
      </c>
      <c r="U80" s="334" t="e">
        <v>#N/A</v>
      </c>
      <c r="V80" t="e">
        <v>#N/A</v>
      </c>
    </row>
    <row r="81" spans="1:22" ht="13" hidden="1">
      <c r="A81" s="557" t="e">
        <v>#N/A</v>
      </c>
      <c r="B81" s="282" t="e">
        <v>#N/A</v>
      </c>
      <c r="C81" s="402" t="e">
        <v>#N/A</v>
      </c>
      <c r="D81" s="284" t="e">
        <v>#N/A</v>
      </c>
      <c r="E81" s="558" t="e">
        <v>#N/A</v>
      </c>
      <c r="F81" s="558" t="e">
        <v>#N/A</v>
      </c>
      <c r="G81" s="285" t="e">
        <v>#N/A</v>
      </c>
      <c r="H81" s="286" t="e">
        <v>#N/A</v>
      </c>
      <c r="I81" s="285" t="e">
        <v>#N/A</v>
      </c>
      <c r="J81" s="287" t="e">
        <v>#N/A</v>
      </c>
      <c r="K81" s="336" t="e">
        <v>#N/A</v>
      </c>
      <c r="L81" s="113" t="e">
        <v>#N/A</v>
      </c>
      <c r="M81" s="338" t="e">
        <v>#N/A</v>
      </c>
      <c r="N81" s="113" t="e">
        <v>#N/A</v>
      </c>
      <c r="O81" s="289" t="e">
        <v>#N/A</v>
      </c>
      <c r="P81" s="344" t="e">
        <v>#N/A</v>
      </c>
      <c r="Q81" s="203" t="e">
        <v>#N/A</v>
      </c>
      <c r="R81" s="559" t="e">
        <v>#N/A</v>
      </c>
      <c r="S81" s="560" t="e">
        <v>#N/A</v>
      </c>
      <c r="T81" s="560" t="e">
        <v>#N/A</v>
      </c>
      <c r="U81" s="334" t="e">
        <v>#N/A</v>
      </c>
      <c r="V81" t="e">
        <v>#N/A</v>
      </c>
    </row>
    <row r="82" spans="1:22" ht="13" hidden="1">
      <c r="A82" s="207" t="e">
        <v>#N/A</v>
      </c>
      <c r="B82" s="208" t="e">
        <v>#N/A</v>
      </c>
      <c r="C82" s="209" t="e">
        <v>#N/A</v>
      </c>
      <c r="D82" s="210" t="e">
        <v>#N/A</v>
      </c>
      <c r="E82" s="561" t="e">
        <v>#N/A</v>
      </c>
      <c r="F82" s="561" t="e">
        <v>#N/A</v>
      </c>
      <c r="G82" s="77" t="e">
        <v>#N/A</v>
      </c>
      <c r="H82" s="212" t="e">
        <v>#N/A</v>
      </c>
      <c r="I82" s="77" t="e">
        <v>#N/A</v>
      </c>
      <c r="J82" s="215" t="e">
        <v>#N/A</v>
      </c>
      <c r="K82" s="214" t="e">
        <v>#N/A</v>
      </c>
      <c r="L82" s="214" t="e">
        <v>#N/A</v>
      </c>
      <c r="M82" s="214" t="e">
        <v>#N/A</v>
      </c>
      <c r="N82" s="214" t="e">
        <v>#N/A</v>
      </c>
      <c r="O82" s="290" t="e">
        <v>#N/A</v>
      </c>
      <c r="P82" s="213" t="e">
        <v>#N/A</v>
      </c>
      <c r="Q82" s="213" t="e">
        <v>#N/A</v>
      </c>
      <c r="R82" s="562" t="e">
        <v>#N/A</v>
      </c>
      <c r="S82" s="562" t="e">
        <v>#N/A</v>
      </c>
      <c r="T82" s="77" t="e">
        <v>#N/A</v>
      </c>
      <c r="U82" s="334" t="e">
        <v>#N/A</v>
      </c>
      <c r="V82" t="e">
        <v>#N/A</v>
      </c>
    </row>
    <row r="83" spans="1:22" ht="13" hidden="1">
      <c r="A83" s="207" t="e">
        <v>#N/A</v>
      </c>
      <c r="B83" s="208" t="e">
        <v>#N/A</v>
      </c>
      <c r="C83" s="209" t="e">
        <v>#N/A</v>
      </c>
      <c r="D83" s="210" t="e">
        <v>#N/A</v>
      </c>
      <c r="E83" s="561" t="e">
        <v>#N/A</v>
      </c>
      <c r="F83" s="561" t="e">
        <v>#N/A</v>
      </c>
      <c r="G83" s="77" t="e">
        <v>#N/A</v>
      </c>
      <c r="H83" s="212" t="e">
        <v>#N/A</v>
      </c>
      <c r="I83" s="77" t="e">
        <v>#N/A</v>
      </c>
      <c r="J83" s="215" t="e">
        <v>#N/A</v>
      </c>
      <c r="K83" s="563" t="e">
        <v>#N/A</v>
      </c>
      <c r="L83" s="214" t="e">
        <v>#N/A</v>
      </c>
      <c r="M83" s="564" t="e">
        <v>#N/A</v>
      </c>
      <c r="N83" s="214" t="e">
        <v>#N/A</v>
      </c>
      <c r="O83" s="290" t="e">
        <v>#N/A</v>
      </c>
      <c r="P83" s="213" t="e">
        <v>#N/A</v>
      </c>
      <c r="Q83" s="213" t="e">
        <v>#N/A</v>
      </c>
      <c r="R83" s="562" t="e">
        <v>#N/A</v>
      </c>
      <c r="S83" s="562" t="e">
        <v>#N/A</v>
      </c>
      <c r="T83" s="562" t="e">
        <v>#N/A</v>
      </c>
      <c r="U83" s="334" t="e">
        <v>#N/A</v>
      </c>
      <c r="V83" t="e">
        <v>#N/A</v>
      </c>
    </row>
    <row r="84" spans="1:22" ht="13" hidden="1">
      <c r="A84" s="565" t="e">
        <v>#N/A</v>
      </c>
      <c r="B84" s="208" t="e">
        <v>#N/A</v>
      </c>
      <c r="C84" s="209" t="e">
        <v>#N/A</v>
      </c>
      <c r="D84" s="210" t="e">
        <v>#N/A</v>
      </c>
      <c r="E84" s="561" t="e">
        <v>#N/A</v>
      </c>
      <c r="F84" s="561" t="e">
        <v>#N/A</v>
      </c>
      <c r="G84" s="77" t="e">
        <v>#N/A</v>
      </c>
      <c r="H84" s="212" t="e">
        <v>#N/A</v>
      </c>
      <c r="I84" s="77" t="e">
        <v>#N/A</v>
      </c>
      <c r="J84" s="215" t="e">
        <v>#N/A</v>
      </c>
      <c r="K84" s="563" t="e">
        <v>#N/A</v>
      </c>
      <c r="L84" s="214" t="e">
        <v>#N/A</v>
      </c>
      <c r="M84" s="564" t="e">
        <v>#N/A</v>
      </c>
      <c r="N84" s="214" t="e">
        <v>#N/A</v>
      </c>
      <c r="O84" s="290" t="e">
        <v>#N/A</v>
      </c>
      <c r="P84" s="213" t="e">
        <v>#N/A</v>
      </c>
      <c r="Q84" s="213" t="e">
        <v>#N/A</v>
      </c>
      <c r="R84" s="562" t="e">
        <v>#N/A</v>
      </c>
      <c r="S84" s="562" t="e">
        <v>#N/A</v>
      </c>
      <c r="T84" s="77" t="e">
        <v>#N/A</v>
      </c>
      <c r="U84" s="334" t="e">
        <v>#N/A</v>
      </c>
      <c r="V84" t="e">
        <v>#N/A</v>
      </c>
    </row>
    <row r="85" spans="1:22" ht="13" hidden="1">
      <c r="A85" s="565" t="e">
        <v>#N/A</v>
      </c>
      <c r="B85" s="208" t="e">
        <v>#N/A</v>
      </c>
      <c r="C85" s="209" t="e">
        <v>#N/A</v>
      </c>
      <c r="D85" s="210" t="e">
        <v>#N/A</v>
      </c>
      <c r="E85" s="561" t="e">
        <v>#N/A</v>
      </c>
      <c r="F85" s="561" t="e">
        <v>#N/A</v>
      </c>
      <c r="G85" s="77" t="e">
        <v>#N/A</v>
      </c>
      <c r="H85" s="212" t="e">
        <v>#N/A</v>
      </c>
      <c r="I85" s="77" t="e">
        <v>#N/A</v>
      </c>
      <c r="J85" s="215" t="e">
        <v>#N/A</v>
      </c>
      <c r="K85" s="563" t="e">
        <v>#N/A</v>
      </c>
      <c r="L85" s="214" t="e">
        <v>#N/A</v>
      </c>
      <c r="M85" s="564" t="e">
        <v>#N/A</v>
      </c>
      <c r="N85" s="214" t="e">
        <v>#N/A</v>
      </c>
      <c r="O85" s="290" t="e">
        <v>#N/A</v>
      </c>
      <c r="P85" s="213" t="e">
        <v>#N/A</v>
      </c>
      <c r="Q85" s="213" t="e">
        <v>#N/A</v>
      </c>
      <c r="R85" s="562" t="e">
        <v>#N/A</v>
      </c>
      <c r="S85" s="562" t="e">
        <v>#N/A</v>
      </c>
      <c r="T85" s="562" t="e">
        <v>#N/A</v>
      </c>
      <c r="U85" s="334" t="e">
        <v>#N/A</v>
      </c>
      <c r="V85" t="e">
        <v>#N/A</v>
      </c>
    </row>
    <row r="86" spans="1:22" ht="13" hidden="1">
      <c r="A86" s="207" t="e">
        <v>#N/A</v>
      </c>
      <c r="B86" s="208" t="e">
        <v>#N/A</v>
      </c>
      <c r="C86" s="209" t="e">
        <v>#N/A</v>
      </c>
      <c r="D86" s="210" t="e">
        <v>#N/A</v>
      </c>
      <c r="E86" s="561" t="e">
        <v>#N/A</v>
      </c>
      <c r="F86" s="561" t="e">
        <v>#N/A</v>
      </c>
      <c r="G86" s="77" t="e">
        <v>#N/A</v>
      </c>
      <c r="H86" s="212" t="e">
        <v>#N/A</v>
      </c>
      <c r="I86" s="77" t="e">
        <v>#N/A</v>
      </c>
      <c r="J86" s="215" t="e">
        <v>#N/A</v>
      </c>
      <c r="K86" s="563" t="e">
        <v>#N/A</v>
      </c>
      <c r="L86" s="214" t="e">
        <v>#N/A</v>
      </c>
      <c r="M86" s="564" t="e">
        <v>#N/A</v>
      </c>
      <c r="N86" s="214" t="e">
        <v>#N/A</v>
      </c>
      <c r="O86" s="290" t="e">
        <v>#N/A</v>
      </c>
      <c r="P86" s="213" t="e">
        <v>#N/A</v>
      </c>
      <c r="Q86" s="213" t="e">
        <v>#N/A</v>
      </c>
      <c r="R86" s="562" t="e">
        <v>#N/A</v>
      </c>
      <c r="S86" s="562" t="e">
        <v>#N/A</v>
      </c>
      <c r="T86" s="77" t="e">
        <v>#N/A</v>
      </c>
      <c r="U86" s="334" t="e">
        <v>#N/A</v>
      </c>
      <c r="V86" t="e">
        <v>#N/A</v>
      </c>
    </row>
    <row r="87" spans="1:22" ht="13" hidden="1">
      <c r="A87" s="565" t="e">
        <v>#N/A</v>
      </c>
      <c r="B87" s="208" t="e">
        <v>#N/A</v>
      </c>
      <c r="C87" s="209" t="e">
        <v>#N/A</v>
      </c>
      <c r="D87" s="210" t="e">
        <v>#N/A</v>
      </c>
      <c r="E87" s="561" t="e">
        <v>#N/A</v>
      </c>
      <c r="F87" s="561" t="e">
        <v>#N/A</v>
      </c>
      <c r="G87" s="77" t="e">
        <v>#N/A</v>
      </c>
      <c r="H87" s="212" t="e">
        <v>#N/A</v>
      </c>
      <c r="I87" s="77" t="e">
        <v>#N/A</v>
      </c>
      <c r="J87" s="215" t="e">
        <v>#N/A</v>
      </c>
      <c r="K87" s="214" t="e">
        <v>#N/A</v>
      </c>
      <c r="L87" s="214" t="e">
        <v>#N/A</v>
      </c>
      <c r="M87" s="564" t="e">
        <v>#N/A</v>
      </c>
      <c r="N87" s="214" t="e">
        <v>#N/A</v>
      </c>
      <c r="O87" s="290" t="e">
        <v>#N/A</v>
      </c>
      <c r="P87" s="213" t="e">
        <v>#N/A</v>
      </c>
      <c r="Q87" s="213" t="e">
        <v>#N/A</v>
      </c>
      <c r="R87" s="562" t="e">
        <v>#N/A</v>
      </c>
      <c r="S87" s="562" t="e">
        <v>#N/A</v>
      </c>
      <c r="T87" s="77" t="e">
        <v>#N/A</v>
      </c>
      <c r="U87" s="334" t="e">
        <v>#N/A</v>
      </c>
      <c r="V87" t="e">
        <v>#N/A</v>
      </c>
    </row>
    <row r="88" spans="1:22" ht="13" hidden="1">
      <c r="A88" s="207" t="e">
        <v>#N/A</v>
      </c>
      <c r="B88" s="208" t="e">
        <v>#N/A</v>
      </c>
      <c r="C88" s="209" t="e">
        <v>#N/A</v>
      </c>
      <c r="D88" s="210" t="e">
        <v>#N/A</v>
      </c>
      <c r="E88" s="561" t="e">
        <v>#N/A</v>
      </c>
      <c r="F88" s="561" t="e">
        <v>#N/A</v>
      </c>
      <c r="G88" s="77" t="e">
        <v>#N/A</v>
      </c>
      <c r="H88" s="212" t="e">
        <v>#N/A</v>
      </c>
      <c r="I88" s="77" t="e">
        <v>#N/A</v>
      </c>
      <c r="J88" s="215" t="e">
        <v>#N/A</v>
      </c>
      <c r="K88" s="214" t="e">
        <v>#N/A</v>
      </c>
      <c r="L88" s="214" t="e">
        <v>#N/A</v>
      </c>
      <c r="M88" s="214" t="e">
        <v>#N/A</v>
      </c>
      <c r="N88" s="214" t="e">
        <v>#N/A</v>
      </c>
      <c r="O88" s="290" t="e">
        <v>#N/A</v>
      </c>
      <c r="P88" s="213" t="e">
        <v>#N/A</v>
      </c>
      <c r="Q88" s="213" t="e">
        <v>#N/A</v>
      </c>
      <c r="R88" s="77" t="e">
        <v>#N/A</v>
      </c>
      <c r="S88" s="562" t="e">
        <v>#N/A</v>
      </c>
      <c r="T88" s="77" t="e">
        <v>#N/A</v>
      </c>
      <c r="U88" s="334" t="e">
        <v>#N/A</v>
      </c>
      <c r="V88" t="e">
        <v>#N/A</v>
      </c>
    </row>
    <row r="89" spans="1:22" ht="13" hidden="1">
      <c r="A89" s="207" t="e">
        <v>#N/A</v>
      </c>
      <c r="B89" s="208" t="e">
        <v>#N/A</v>
      </c>
      <c r="C89" s="209" t="e">
        <v>#N/A</v>
      </c>
      <c r="D89" s="210" t="e">
        <v>#N/A</v>
      </c>
      <c r="E89" s="561" t="e">
        <v>#N/A</v>
      </c>
      <c r="F89" s="561" t="e">
        <v>#N/A</v>
      </c>
      <c r="G89" s="77" t="e">
        <v>#N/A</v>
      </c>
      <c r="H89" s="212" t="e">
        <v>#N/A</v>
      </c>
      <c r="I89" s="77" t="e">
        <v>#N/A</v>
      </c>
      <c r="J89" s="215" t="e">
        <v>#N/A</v>
      </c>
      <c r="K89" s="214" t="e">
        <v>#N/A</v>
      </c>
      <c r="L89" s="214" t="e">
        <v>#N/A</v>
      </c>
      <c r="M89" s="214" t="e">
        <v>#N/A</v>
      </c>
      <c r="N89" s="214" t="e">
        <v>#N/A</v>
      </c>
      <c r="O89" s="290" t="e">
        <v>#N/A</v>
      </c>
      <c r="P89" s="213" t="e">
        <v>#N/A</v>
      </c>
      <c r="Q89" s="213" t="e">
        <v>#N/A</v>
      </c>
      <c r="R89" s="77" t="e">
        <v>#N/A</v>
      </c>
      <c r="S89" s="562" t="e">
        <v>#N/A</v>
      </c>
      <c r="T89" s="77" t="e">
        <v>#N/A</v>
      </c>
      <c r="U89" s="334" t="e">
        <v>#N/A</v>
      </c>
      <c r="V89" t="e">
        <v>#N/A</v>
      </c>
    </row>
    <row r="90" spans="1:22" ht="13" hidden="1">
      <c r="A90" s="207" t="e">
        <v>#N/A</v>
      </c>
      <c r="B90" s="208" t="e">
        <v>#N/A</v>
      </c>
      <c r="C90" s="209" t="e">
        <v>#N/A</v>
      </c>
      <c r="D90" s="210" t="e">
        <v>#N/A</v>
      </c>
      <c r="E90" s="561" t="e">
        <v>#N/A</v>
      </c>
      <c r="F90" s="561" t="e">
        <v>#N/A</v>
      </c>
      <c r="G90" s="77" t="e">
        <v>#N/A</v>
      </c>
      <c r="H90" s="212" t="e">
        <v>#N/A</v>
      </c>
      <c r="I90" s="77" t="e">
        <v>#N/A</v>
      </c>
      <c r="J90" s="215" t="e">
        <v>#N/A</v>
      </c>
      <c r="K90" s="214" t="e">
        <v>#N/A</v>
      </c>
      <c r="L90" s="214" t="e">
        <v>#N/A</v>
      </c>
      <c r="M90" s="214" t="e">
        <v>#N/A</v>
      </c>
      <c r="N90" s="214" t="e">
        <v>#N/A</v>
      </c>
      <c r="O90" s="290" t="e">
        <v>#N/A</v>
      </c>
      <c r="P90" s="213" t="e">
        <v>#N/A</v>
      </c>
      <c r="Q90" s="213" t="e">
        <v>#N/A</v>
      </c>
      <c r="R90" s="77" t="e">
        <v>#N/A</v>
      </c>
      <c r="S90" s="562" t="e">
        <v>#N/A</v>
      </c>
      <c r="T90" s="77" t="e">
        <v>#N/A</v>
      </c>
      <c r="U90" s="334" t="e">
        <v>#N/A</v>
      </c>
      <c r="V90" t="e">
        <v>#N/A</v>
      </c>
    </row>
    <row r="91" spans="1:22" ht="13" hidden="1">
      <c r="A91" s="207" t="e">
        <v>#N/A</v>
      </c>
      <c r="B91" s="208" t="e">
        <v>#N/A</v>
      </c>
      <c r="C91" s="209" t="e">
        <v>#N/A</v>
      </c>
      <c r="D91" s="210" t="e">
        <v>#N/A</v>
      </c>
      <c r="E91" s="561" t="e">
        <v>#N/A</v>
      </c>
      <c r="F91" s="561" t="e">
        <v>#N/A</v>
      </c>
      <c r="G91" s="77" t="e">
        <v>#N/A</v>
      </c>
      <c r="H91" s="212" t="e">
        <v>#N/A</v>
      </c>
      <c r="I91" s="77" t="e">
        <v>#N/A</v>
      </c>
      <c r="J91" s="215" t="e">
        <v>#N/A</v>
      </c>
      <c r="K91" s="214" t="e">
        <v>#N/A</v>
      </c>
      <c r="L91" s="214" t="e">
        <v>#N/A</v>
      </c>
      <c r="M91" s="214" t="e">
        <v>#N/A</v>
      </c>
      <c r="N91" s="214" t="e">
        <v>#N/A</v>
      </c>
      <c r="O91" s="290" t="e">
        <v>#N/A</v>
      </c>
      <c r="P91" s="213" t="e">
        <v>#N/A</v>
      </c>
      <c r="Q91" s="213" t="e">
        <v>#N/A</v>
      </c>
      <c r="R91" s="77" t="e">
        <v>#N/A</v>
      </c>
      <c r="S91" s="77" t="e">
        <v>#N/A</v>
      </c>
      <c r="T91" s="77" t="e">
        <v>#N/A</v>
      </c>
      <c r="U91" t="e">
        <v>#N/A</v>
      </c>
      <c r="V91" t="e">
        <v>#N/A</v>
      </c>
    </row>
    <row r="92" spans="1:22" ht="13" hidden="1">
      <c r="A92" s="207" t="e">
        <v>#N/A</v>
      </c>
      <c r="B92" s="208" t="e">
        <v>#N/A</v>
      </c>
      <c r="C92" s="209" t="e">
        <v>#N/A</v>
      </c>
      <c r="D92" s="210" t="e">
        <v>#N/A</v>
      </c>
      <c r="E92" s="561" t="e">
        <v>#N/A</v>
      </c>
      <c r="F92" s="561" t="e">
        <v>#N/A</v>
      </c>
      <c r="G92" s="77" t="e">
        <v>#N/A</v>
      </c>
      <c r="H92" s="212" t="e">
        <v>#N/A</v>
      </c>
      <c r="I92" s="77" t="e">
        <v>#N/A</v>
      </c>
      <c r="J92" s="215" t="e">
        <v>#N/A</v>
      </c>
      <c r="K92" s="214" t="e">
        <v>#N/A</v>
      </c>
      <c r="L92" s="214" t="e">
        <v>#N/A</v>
      </c>
      <c r="M92" s="214" t="e">
        <v>#N/A</v>
      </c>
      <c r="N92" s="214" t="e">
        <v>#N/A</v>
      </c>
      <c r="O92" s="290" t="e">
        <v>#N/A</v>
      </c>
      <c r="P92" s="213" t="e">
        <v>#N/A</v>
      </c>
      <c r="Q92" s="213" t="e">
        <v>#N/A</v>
      </c>
      <c r="R92" s="77" t="e">
        <v>#N/A</v>
      </c>
      <c r="S92" s="77" t="e">
        <v>#N/A</v>
      </c>
      <c r="T92" s="77" t="e">
        <v>#N/A</v>
      </c>
      <c r="U92" t="e">
        <v>#N/A</v>
      </c>
      <c r="V92" t="e">
        <v>#N/A</v>
      </c>
    </row>
    <row r="93" spans="1:22" ht="13" hidden="1">
      <c r="A93" s="207" t="e">
        <v>#N/A</v>
      </c>
      <c r="B93" s="208" t="e">
        <v>#N/A</v>
      </c>
      <c r="C93" s="209" t="e">
        <v>#N/A</v>
      </c>
      <c r="D93" s="210" t="e">
        <v>#N/A</v>
      </c>
      <c r="E93" s="561" t="e">
        <v>#N/A</v>
      </c>
      <c r="F93" s="561" t="e">
        <v>#N/A</v>
      </c>
      <c r="G93" s="77" t="e">
        <v>#N/A</v>
      </c>
      <c r="H93" s="212" t="e">
        <v>#N/A</v>
      </c>
      <c r="I93" s="77" t="e">
        <v>#N/A</v>
      </c>
      <c r="J93" s="215" t="e">
        <v>#N/A</v>
      </c>
      <c r="K93" s="214" t="e">
        <v>#N/A</v>
      </c>
      <c r="L93" s="214" t="e">
        <v>#N/A</v>
      </c>
      <c r="M93" s="214" t="e">
        <v>#N/A</v>
      </c>
      <c r="N93" s="214" t="e">
        <v>#N/A</v>
      </c>
      <c r="O93" s="290" t="e">
        <v>#N/A</v>
      </c>
      <c r="P93" s="213" t="e">
        <v>#N/A</v>
      </c>
      <c r="Q93" s="213" t="e">
        <v>#N/A</v>
      </c>
      <c r="R93" s="77" t="e">
        <v>#N/A</v>
      </c>
      <c r="S93" s="77" t="e">
        <v>#N/A</v>
      </c>
      <c r="T93" s="77" t="e">
        <v>#N/A</v>
      </c>
      <c r="U93" t="e">
        <v>#N/A</v>
      </c>
      <c r="V93" t="e">
        <v>#N/A</v>
      </c>
    </row>
    <row r="94" spans="1:22" ht="13" hidden="1">
      <c r="A94" s="207" t="e">
        <v>#N/A</v>
      </c>
      <c r="B94" s="208" t="e">
        <v>#N/A</v>
      </c>
      <c r="C94" s="209" t="e">
        <v>#N/A</v>
      </c>
      <c r="D94" s="210" t="e">
        <v>#N/A</v>
      </c>
      <c r="E94" s="561" t="e">
        <v>#N/A</v>
      </c>
      <c r="F94" s="561" t="e">
        <v>#N/A</v>
      </c>
      <c r="G94" s="77" t="e">
        <v>#N/A</v>
      </c>
      <c r="H94" s="212" t="e">
        <v>#N/A</v>
      </c>
      <c r="I94" s="77" t="e">
        <v>#N/A</v>
      </c>
      <c r="J94" s="215" t="e">
        <v>#N/A</v>
      </c>
      <c r="K94" s="214" t="e">
        <v>#N/A</v>
      </c>
      <c r="L94" s="214" t="e">
        <v>#N/A</v>
      </c>
      <c r="M94" s="214" t="e">
        <v>#N/A</v>
      </c>
      <c r="N94" s="214" t="e">
        <v>#N/A</v>
      </c>
      <c r="O94" s="290" t="e">
        <v>#N/A</v>
      </c>
      <c r="P94" s="213" t="e">
        <v>#N/A</v>
      </c>
      <c r="Q94" s="213" t="e">
        <v>#N/A</v>
      </c>
      <c r="R94" s="77" t="e">
        <v>#N/A</v>
      </c>
      <c r="S94" s="77" t="e">
        <v>#N/A</v>
      </c>
      <c r="T94" s="77" t="e">
        <v>#N/A</v>
      </c>
      <c r="U94" t="e">
        <v>#N/A</v>
      </c>
      <c r="V94" t="e">
        <v>#N/A</v>
      </c>
    </row>
    <row r="95" spans="1:22" ht="13" hidden="1">
      <c r="A95" s="207" t="e">
        <v>#N/A</v>
      </c>
      <c r="B95" s="208" t="e">
        <v>#N/A</v>
      </c>
      <c r="C95" s="209" t="e">
        <v>#N/A</v>
      </c>
      <c r="D95" s="210" t="e">
        <v>#N/A</v>
      </c>
      <c r="E95" s="561" t="e">
        <v>#N/A</v>
      </c>
      <c r="F95" s="561" t="e">
        <v>#N/A</v>
      </c>
      <c r="G95" s="77" t="e">
        <v>#N/A</v>
      </c>
      <c r="H95" s="212" t="e">
        <v>#N/A</v>
      </c>
      <c r="I95" s="77" t="e">
        <v>#N/A</v>
      </c>
      <c r="J95" s="215" t="e">
        <v>#N/A</v>
      </c>
      <c r="K95" s="214" t="e">
        <v>#N/A</v>
      </c>
      <c r="L95" s="214" t="e">
        <v>#N/A</v>
      </c>
      <c r="M95" s="214" t="e">
        <v>#N/A</v>
      </c>
      <c r="N95" s="214" t="e">
        <v>#N/A</v>
      </c>
      <c r="O95" s="290" t="e">
        <v>#N/A</v>
      </c>
      <c r="P95" s="213" t="e">
        <v>#N/A</v>
      </c>
      <c r="Q95" s="213" t="e">
        <v>#N/A</v>
      </c>
      <c r="R95" s="77" t="e">
        <v>#N/A</v>
      </c>
      <c r="S95" s="77" t="e">
        <v>#N/A</v>
      </c>
      <c r="T95" s="77" t="e">
        <v>#N/A</v>
      </c>
      <c r="U95" t="e">
        <v>#N/A</v>
      </c>
      <c r="V95" t="e">
        <v>#N/A</v>
      </c>
    </row>
    <row r="96" spans="1:22" ht="13" hidden="1">
      <c r="A96" s="207" t="e">
        <v>#N/A</v>
      </c>
      <c r="B96" s="208" t="e">
        <v>#N/A</v>
      </c>
      <c r="C96" s="209" t="e">
        <v>#N/A</v>
      </c>
      <c r="D96" s="210" t="e">
        <v>#N/A</v>
      </c>
      <c r="E96" s="561" t="e">
        <v>#N/A</v>
      </c>
      <c r="F96" s="561" t="e">
        <v>#N/A</v>
      </c>
      <c r="G96" s="77" t="e">
        <v>#N/A</v>
      </c>
      <c r="H96" s="212" t="e">
        <v>#N/A</v>
      </c>
      <c r="I96" s="77" t="e">
        <v>#N/A</v>
      </c>
      <c r="J96" s="215" t="e">
        <v>#N/A</v>
      </c>
      <c r="K96" s="214" t="e">
        <v>#N/A</v>
      </c>
      <c r="L96" s="214" t="e">
        <v>#N/A</v>
      </c>
      <c r="M96" s="214" t="e">
        <v>#N/A</v>
      </c>
      <c r="N96" s="214" t="e">
        <v>#N/A</v>
      </c>
      <c r="O96" s="290" t="e">
        <v>#N/A</v>
      </c>
      <c r="P96" s="213" t="e">
        <v>#N/A</v>
      </c>
      <c r="Q96" s="213" t="e">
        <v>#N/A</v>
      </c>
      <c r="R96" s="77" t="e">
        <v>#N/A</v>
      </c>
      <c r="S96" s="77" t="e">
        <v>#N/A</v>
      </c>
      <c r="T96" s="77" t="e">
        <v>#N/A</v>
      </c>
      <c r="U96" t="e">
        <v>#N/A</v>
      </c>
      <c r="V96" t="e">
        <v>#N/A</v>
      </c>
    </row>
    <row r="97" spans="1:22" ht="13" hidden="1">
      <c r="A97" s="207" t="e">
        <v>#N/A</v>
      </c>
      <c r="B97" s="208" t="e">
        <v>#N/A</v>
      </c>
      <c r="C97" s="209" t="e">
        <v>#N/A</v>
      </c>
      <c r="D97" s="210" t="e">
        <v>#N/A</v>
      </c>
      <c r="E97" s="561" t="e">
        <v>#N/A</v>
      </c>
      <c r="F97" s="561" t="e">
        <v>#N/A</v>
      </c>
      <c r="G97" s="77" t="e">
        <v>#N/A</v>
      </c>
      <c r="H97" s="212" t="e">
        <v>#N/A</v>
      </c>
      <c r="I97" s="77" t="e">
        <v>#N/A</v>
      </c>
      <c r="J97" s="215" t="e">
        <v>#N/A</v>
      </c>
      <c r="K97" s="214" t="e">
        <v>#N/A</v>
      </c>
      <c r="L97" s="214" t="e">
        <v>#N/A</v>
      </c>
      <c r="M97" s="214" t="e">
        <v>#N/A</v>
      </c>
      <c r="N97" s="214" t="e">
        <v>#N/A</v>
      </c>
      <c r="O97" s="290" t="e">
        <v>#N/A</v>
      </c>
      <c r="P97" s="213" t="e">
        <v>#N/A</v>
      </c>
      <c r="Q97" s="213" t="e">
        <v>#N/A</v>
      </c>
      <c r="R97" s="77" t="e">
        <v>#N/A</v>
      </c>
      <c r="S97" s="77" t="e">
        <v>#N/A</v>
      </c>
      <c r="T97" s="77" t="e">
        <v>#N/A</v>
      </c>
      <c r="U97" t="e">
        <v>#N/A</v>
      </c>
      <c r="V97" t="e">
        <v>#N/A</v>
      </c>
    </row>
    <row r="98" spans="1:22" ht="13" hidden="1">
      <c r="A98" s="207" t="e">
        <v>#N/A</v>
      </c>
      <c r="B98" s="208" t="e">
        <v>#N/A</v>
      </c>
      <c r="C98" s="209" t="e">
        <v>#N/A</v>
      </c>
      <c r="D98" s="210" t="e">
        <v>#N/A</v>
      </c>
      <c r="E98" s="561" t="e">
        <v>#N/A</v>
      </c>
      <c r="F98" s="561" t="e">
        <v>#N/A</v>
      </c>
      <c r="G98" s="77" t="e">
        <v>#N/A</v>
      </c>
      <c r="H98" s="212" t="e">
        <v>#N/A</v>
      </c>
      <c r="I98" s="77" t="e">
        <v>#N/A</v>
      </c>
      <c r="J98" s="215" t="e">
        <v>#N/A</v>
      </c>
      <c r="K98" s="214" t="e">
        <v>#N/A</v>
      </c>
      <c r="L98" s="214" t="e">
        <v>#N/A</v>
      </c>
      <c r="M98" s="214" t="e">
        <v>#N/A</v>
      </c>
      <c r="N98" s="214" t="e">
        <v>#N/A</v>
      </c>
      <c r="O98" s="290" t="e">
        <v>#N/A</v>
      </c>
      <c r="P98" s="213" t="e">
        <v>#N/A</v>
      </c>
      <c r="Q98" s="213" t="e">
        <v>#N/A</v>
      </c>
      <c r="R98" s="77" t="e">
        <v>#N/A</v>
      </c>
      <c r="S98" s="77" t="e">
        <v>#N/A</v>
      </c>
      <c r="T98" s="77" t="e">
        <v>#N/A</v>
      </c>
      <c r="U98" t="e">
        <v>#N/A</v>
      </c>
      <c r="V98" t="e">
        <v>#N/A</v>
      </c>
    </row>
    <row r="99" spans="1:22" ht="13" hidden="1">
      <c r="A99" s="207" t="e">
        <v>#N/A</v>
      </c>
      <c r="B99" s="208" t="e">
        <v>#N/A</v>
      </c>
      <c r="C99" s="209" t="e">
        <v>#N/A</v>
      </c>
      <c r="D99" s="210" t="e">
        <v>#N/A</v>
      </c>
      <c r="E99" s="561" t="e">
        <v>#N/A</v>
      </c>
      <c r="F99" s="561" t="e">
        <v>#N/A</v>
      </c>
      <c r="G99" s="77" t="e">
        <v>#N/A</v>
      </c>
      <c r="H99" s="212" t="e">
        <v>#N/A</v>
      </c>
      <c r="I99" s="77" t="e">
        <v>#N/A</v>
      </c>
      <c r="J99" s="215" t="e">
        <v>#N/A</v>
      </c>
      <c r="K99" s="214" t="e">
        <v>#N/A</v>
      </c>
      <c r="L99" s="214" t="e">
        <v>#N/A</v>
      </c>
      <c r="M99" s="214" t="e">
        <v>#N/A</v>
      </c>
      <c r="N99" s="214" t="e">
        <v>#N/A</v>
      </c>
      <c r="O99" s="290" t="e">
        <v>#N/A</v>
      </c>
      <c r="P99" s="213" t="e">
        <v>#N/A</v>
      </c>
      <c r="Q99" s="213" t="e">
        <v>#N/A</v>
      </c>
      <c r="R99" s="77" t="e">
        <v>#N/A</v>
      </c>
      <c r="S99" s="77" t="e">
        <v>#N/A</v>
      </c>
      <c r="T99" s="77" t="e">
        <v>#N/A</v>
      </c>
      <c r="U99" t="e">
        <v>#N/A</v>
      </c>
      <c r="V99" t="e">
        <v>#N/A</v>
      </c>
    </row>
    <row r="100" spans="1:22" ht="13" hidden="1">
      <c r="A100" s="207" t="e">
        <v>#N/A</v>
      </c>
      <c r="B100" s="208" t="e">
        <v>#N/A</v>
      </c>
      <c r="C100" s="209" t="e">
        <v>#N/A</v>
      </c>
      <c r="D100" s="210" t="e">
        <v>#N/A</v>
      </c>
      <c r="E100" s="561" t="e">
        <v>#N/A</v>
      </c>
      <c r="F100" s="561" t="e">
        <v>#N/A</v>
      </c>
      <c r="G100" s="77" t="e">
        <v>#N/A</v>
      </c>
      <c r="H100" s="212" t="e">
        <v>#N/A</v>
      </c>
      <c r="I100" s="77" t="e">
        <v>#N/A</v>
      </c>
      <c r="J100" s="215" t="e">
        <v>#N/A</v>
      </c>
      <c r="K100" s="214" t="e">
        <v>#N/A</v>
      </c>
      <c r="L100" s="214" t="e">
        <v>#N/A</v>
      </c>
      <c r="M100" s="214" t="e">
        <v>#N/A</v>
      </c>
      <c r="N100" s="214" t="e">
        <v>#N/A</v>
      </c>
      <c r="O100" s="290" t="e">
        <v>#N/A</v>
      </c>
      <c r="P100" s="213" t="e">
        <v>#N/A</v>
      </c>
      <c r="Q100" s="213" t="e">
        <v>#N/A</v>
      </c>
      <c r="R100" s="77" t="e">
        <v>#N/A</v>
      </c>
      <c r="S100" s="77" t="e">
        <v>#N/A</v>
      </c>
      <c r="T100" s="77" t="e">
        <v>#N/A</v>
      </c>
      <c r="U100" t="e">
        <v>#N/A</v>
      </c>
      <c r="V100" t="e">
        <v>#N/A</v>
      </c>
    </row>
    <row r="101" spans="1:22" ht="13">
      <c r="A101" s="207" t="e">
        <v>#N/A</v>
      </c>
      <c r="B101" s="208" t="e">
        <v>#N/A</v>
      </c>
      <c r="C101" s="209" t="e">
        <v>#N/A</v>
      </c>
      <c r="D101" s="210" t="e">
        <v>#N/A</v>
      </c>
      <c r="E101" s="561" t="e">
        <v>#N/A</v>
      </c>
      <c r="F101" s="561" t="e">
        <v>#N/A</v>
      </c>
      <c r="G101" s="77" t="e">
        <v>#N/A</v>
      </c>
      <c r="H101" s="212" t="e">
        <v>#N/A</v>
      </c>
      <c r="I101" s="77" t="e">
        <v>#N/A</v>
      </c>
      <c r="J101" s="215" t="e">
        <v>#N/A</v>
      </c>
      <c r="K101" s="214" t="e">
        <v>#N/A</v>
      </c>
      <c r="L101" s="214" t="e">
        <v>#N/A</v>
      </c>
      <c r="M101" s="214" t="e">
        <v>#N/A</v>
      </c>
      <c r="N101" s="214" t="e">
        <v>#N/A</v>
      </c>
      <c r="O101" s="290" t="e">
        <v>#N/A</v>
      </c>
      <c r="P101" s="213" t="e">
        <v>#N/A</v>
      </c>
      <c r="Q101" s="213" t="e">
        <v>#N/A</v>
      </c>
      <c r="R101" s="77" t="e">
        <v>#N/A</v>
      </c>
      <c r="S101" s="77" t="e">
        <v>#N/A</v>
      </c>
      <c r="T101" s="77" t="e">
        <v>#N/A</v>
      </c>
      <c r="U101" t="e">
        <v>#N/A</v>
      </c>
      <c r="V101" t="e">
        <v>#N/A</v>
      </c>
    </row>
    <row r="102" spans="1:22" ht="13">
      <c r="A102" t="e">
        <v>#N/A</v>
      </c>
      <c r="B102" s="566" t="e">
        <v>#N/A</v>
      </c>
      <c r="C102" s="567" t="e">
        <v>#N/A</v>
      </c>
      <c r="D102" s="568" t="e">
        <v>#N/A</v>
      </c>
      <c r="E102" s="567" t="e">
        <v>#N/A</v>
      </c>
      <c r="F102" s="567" t="e">
        <v>#N/A</v>
      </c>
      <c r="G102" t="e">
        <v>#N/A</v>
      </c>
      <c r="H102" s="226" t="e">
        <v>#N/A</v>
      </c>
      <c r="I102" t="e">
        <v>#N/A</v>
      </c>
      <c r="J102" s="569" t="e">
        <v>#N/A</v>
      </c>
      <c r="K102" s="214" t="e">
        <v>#N/A</v>
      </c>
      <c r="L102" s="214" t="e">
        <v>#N/A</v>
      </c>
      <c r="M102" s="214" t="e">
        <v>#N/A</v>
      </c>
      <c r="N102" s="214" t="e">
        <v>#N/A</v>
      </c>
      <c r="O102" s="570" t="e">
        <v>#N/A</v>
      </c>
      <c r="P102" s="571" t="e">
        <v>#N/A</v>
      </c>
      <c r="Q102" s="571" t="e">
        <v>#N/A</v>
      </c>
      <c r="R102" t="e">
        <v>#N/A</v>
      </c>
      <c r="S102" t="e">
        <v>#N/A</v>
      </c>
      <c r="T102" t="e">
        <v>#N/A</v>
      </c>
      <c r="U102" t="e">
        <v>#N/A</v>
      </c>
      <c r="V102" t="e">
        <v>#N/A</v>
      </c>
    </row>
    <row r="103" spans="1:22" ht="13">
      <c r="A103" s="207" t="e">
        <v>#N/A</v>
      </c>
      <c r="B103" s="566" t="e">
        <v>#N/A</v>
      </c>
      <c r="C103" s="567" t="e">
        <v>#N/A</v>
      </c>
      <c r="D103" s="568" t="e">
        <v>#N/A</v>
      </c>
      <c r="E103" s="567" t="e">
        <v>#N/A</v>
      </c>
      <c r="F103" s="567" t="e">
        <v>#N/A</v>
      </c>
      <c r="G103" t="e">
        <v>#N/A</v>
      </c>
      <c r="H103" s="226" t="e">
        <v>#N/A</v>
      </c>
      <c r="I103" t="e">
        <v>#N/A</v>
      </c>
      <c r="J103" s="569" t="e">
        <v>#N/A</v>
      </c>
      <c r="K103" s="214" t="e">
        <v>#N/A</v>
      </c>
      <c r="L103" s="214" t="e">
        <v>#N/A</v>
      </c>
      <c r="M103" s="214" t="e">
        <v>#N/A</v>
      </c>
      <c r="N103" s="214" t="e">
        <v>#N/A</v>
      </c>
      <c r="O103" s="570" t="e">
        <v>#N/A</v>
      </c>
      <c r="P103" s="571" t="e">
        <v>#N/A</v>
      </c>
      <c r="Q103" s="571" t="e">
        <v>#N/A</v>
      </c>
      <c r="R103" t="e">
        <v>#N/A</v>
      </c>
      <c r="S103" t="e">
        <v>#N/A</v>
      </c>
      <c r="T103" t="e">
        <v>#N/A</v>
      </c>
      <c r="U103" t="e">
        <v>#N/A</v>
      </c>
      <c r="V103" t="e">
        <v>#N/A</v>
      </c>
    </row>
    <row r="104" spans="1:22" ht="13">
      <c r="A104" t="e">
        <v>#N/A</v>
      </c>
      <c r="B104" s="566" t="e">
        <v>#N/A</v>
      </c>
      <c r="C104" s="567" t="e">
        <v>#N/A</v>
      </c>
      <c r="D104" s="568" t="e">
        <v>#N/A</v>
      </c>
      <c r="E104" s="567" t="e">
        <v>#N/A</v>
      </c>
      <c r="F104" s="567" t="e">
        <v>#N/A</v>
      </c>
      <c r="G104" t="e">
        <v>#N/A</v>
      </c>
      <c r="H104" s="226" t="e">
        <v>#N/A</v>
      </c>
      <c r="I104" t="e">
        <v>#N/A</v>
      </c>
      <c r="J104" s="569" t="e">
        <v>#N/A</v>
      </c>
      <c r="K104" s="214" t="e">
        <v>#N/A</v>
      </c>
      <c r="L104" s="214" t="e">
        <v>#N/A</v>
      </c>
      <c r="M104" s="214" t="e">
        <v>#N/A</v>
      </c>
      <c r="N104" s="214" t="e">
        <v>#N/A</v>
      </c>
      <c r="O104" s="570" t="e">
        <v>#N/A</v>
      </c>
      <c r="P104" s="571" t="e">
        <v>#N/A</v>
      </c>
      <c r="Q104" s="571" t="e">
        <v>#N/A</v>
      </c>
      <c r="R104" t="e">
        <v>#N/A</v>
      </c>
      <c r="S104" t="e">
        <v>#N/A</v>
      </c>
      <c r="T104" t="e">
        <v>#N/A</v>
      </c>
      <c r="U104" t="e">
        <v>#N/A</v>
      </c>
      <c r="V104" t="e">
        <v>#N/A</v>
      </c>
    </row>
    <row r="105" spans="1:22" ht="13">
      <c r="A105" t="e">
        <v>#N/A</v>
      </c>
      <c r="B105" s="566" t="e">
        <v>#N/A</v>
      </c>
      <c r="C105" s="567" t="e">
        <v>#N/A</v>
      </c>
      <c r="D105" s="568" t="e">
        <v>#N/A</v>
      </c>
      <c r="E105" s="567" t="e">
        <v>#N/A</v>
      </c>
      <c r="F105" s="567" t="e">
        <v>#N/A</v>
      </c>
      <c r="G105" t="e">
        <v>#N/A</v>
      </c>
      <c r="H105" s="226" t="e">
        <v>#N/A</v>
      </c>
      <c r="I105" t="e">
        <v>#N/A</v>
      </c>
      <c r="J105" s="569" t="e">
        <v>#N/A</v>
      </c>
      <c r="K105" s="214" t="e">
        <v>#N/A</v>
      </c>
      <c r="L105" s="214" t="e">
        <v>#N/A</v>
      </c>
      <c r="M105" s="214" t="e">
        <v>#N/A</v>
      </c>
      <c r="N105" s="214" t="e">
        <v>#N/A</v>
      </c>
      <c r="O105" s="570" t="e">
        <v>#N/A</v>
      </c>
      <c r="P105" s="571" t="e">
        <v>#N/A</v>
      </c>
      <c r="Q105" s="571" t="e">
        <v>#N/A</v>
      </c>
      <c r="R105" t="e">
        <v>#N/A</v>
      </c>
      <c r="S105" t="e">
        <v>#N/A</v>
      </c>
      <c r="T105" t="e">
        <v>#N/A</v>
      </c>
      <c r="U105" t="e">
        <v>#N/A</v>
      </c>
      <c r="V105" t="e">
        <v>#N/A</v>
      </c>
    </row>
    <row r="106" spans="1:22" ht="13">
      <c r="A106" t="e">
        <v>#N/A</v>
      </c>
      <c r="B106" s="566" t="e">
        <v>#N/A</v>
      </c>
      <c r="C106" s="567" t="e">
        <v>#N/A</v>
      </c>
      <c r="D106" s="568" t="e">
        <v>#N/A</v>
      </c>
      <c r="E106" s="567" t="e">
        <v>#N/A</v>
      </c>
      <c r="F106" s="567" t="e">
        <v>#N/A</v>
      </c>
      <c r="G106" t="e">
        <v>#N/A</v>
      </c>
      <c r="H106" s="226" t="e">
        <v>#N/A</v>
      </c>
      <c r="I106" t="e">
        <v>#N/A</v>
      </c>
      <c r="J106" s="569" t="e">
        <v>#N/A</v>
      </c>
      <c r="K106" s="214" t="e">
        <v>#N/A</v>
      </c>
      <c r="L106" s="214" t="e">
        <v>#N/A</v>
      </c>
      <c r="M106" s="214" t="e">
        <v>#N/A</v>
      </c>
      <c r="N106" s="214" t="e">
        <v>#N/A</v>
      </c>
      <c r="O106" s="570" t="e">
        <v>#N/A</v>
      </c>
      <c r="P106" s="571" t="e">
        <v>#N/A</v>
      </c>
      <c r="Q106" s="571" t="e">
        <v>#N/A</v>
      </c>
      <c r="R106" t="e">
        <v>#N/A</v>
      </c>
      <c r="S106" t="e">
        <v>#N/A</v>
      </c>
      <c r="T106" t="e">
        <v>#N/A</v>
      </c>
      <c r="U106" t="e">
        <v>#N/A</v>
      </c>
      <c r="V106" t="e">
        <v>#N/A</v>
      </c>
    </row>
    <row r="107" spans="1:22" ht="13">
      <c r="A107" t="e">
        <v>#N/A</v>
      </c>
      <c r="B107" s="566" t="e">
        <v>#N/A</v>
      </c>
      <c r="C107" s="567" t="e">
        <v>#N/A</v>
      </c>
      <c r="D107" s="568" t="e">
        <v>#N/A</v>
      </c>
      <c r="E107" s="567" t="e">
        <v>#N/A</v>
      </c>
      <c r="F107" s="567" t="e">
        <v>#N/A</v>
      </c>
      <c r="G107" t="e">
        <v>#N/A</v>
      </c>
      <c r="H107" s="226" t="e">
        <v>#N/A</v>
      </c>
      <c r="I107" t="e">
        <v>#N/A</v>
      </c>
      <c r="J107" s="569" t="e">
        <v>#N/A</v>
      </c>
      <c r="K107" s="214" t="e">
        <v>#N/A</v>
      </c>
      <c r="L107" s="214" t="e">
        <v>#N/A</v>
      </c>
      <c r="M107" s="214" t="e">
        <v>#N/A</v>
      </c>
      <c r="N107" s="214" t="e">
        <v>#N/A</v>
      </c>
      <c r="O107" s="570" t="e">
        <v>#N/A</v>
      </c>
      <c r="P107" s="571" t="e">
        <v>#N/A</v>
      </c>
      <c r="Q107" s="571" t="e">
        <v>#N/A</v>
      </c>
      <c r="R107" t="e">
        <v>#N/A</v>
      </c>
      <c r="S107" t="e">
        <v>#N/A</v>
      </c>
      <c r="T107" t="e">
        <v>#N/A</v>
      </c>
      <c r="U107" t="e">
        <v>#N/A</v>
      </c>
      <c r="V107" t="e">
        <v>#N/A</v>
      </c>
    </row>
    <row r="108" spans="1:22" ht="13">
      <c r="A108" t="e">
        <v>#N/A</v>
      </c>
      <c r="B108" s="566" t="e">
        <v>#N/A</v>
      </c>
      <c r="C108" s="567" t="e">
        <v>#N/A</v>
      </c>
      <c r="D108" s="568" t="e">
        <v>#N/A</v>
      </c>
      <c r="E108" s="567" t="e">
        <v>#N/A</v>
      </c>
      <c r="F108" s="567" t="e">
        <v>#N/A</v>
      </c>
      <c r="G108" t="e">
        <v>#N/A</v>
      </c>
      <c r="H108" s="226" t="e">
        <v>#N/A</v>
      </c>
      <c r="I108" t="e">
        <v>#N/A</v>
      </c>
      <c r="J108" s="569" t="e">
        <v>#N/A</v>
      </c>
      <c r="K108" s="214" t="e">
        <v>#N/A</v>
      </c>
      <c r="L108" s="214" t="e">
        <v>#N/A</v>
      </c>
      <c r="M108" s="214" t="e">
        <v>#N/A</v>
      </c>
      <c r="N108" s="214" t="e">
        <v>#N/A</v>
      </c>
      <c r="O108" s="570" t="e">
        <v>#N/A</v>
      </c>
      <c r="P108" s="571" t="e">
        <v>#N/A</v>
      </c>
      <c r="Q108" s="571" t="e">
        <v>#N/A</v>
      </c>
      <c r="R108" t="e">
        <v>#N/A</v>
      </c>
      <c r="S108" t="e">
        <v>#N/A</v>
      </c>
      <c r="T108" t="e">
        <v>#N/A</v>
      </c>
      <c r="U108" t="e">
        <v>#N/A</v>
      </c>
      <c r="V108" t="e">
        <v>#N/A</v>
      </c>
    </row>
    <row r="109" spans="1:22" ht="13">
      <c r="A109" t="e">
        <v>#N/A</v>
      </c>
      <c r="B109" s="566" t="e">
        <v>#N/A</v>
      </c>
      <c r="C109" s="567" t="e">
        <v>#N/A</v>
      </c>
      <c r="D109" s="568" t="e">
        <v>#N/A</v>
      </c>
      <c r="E109" s="567" t="e">
        <v>#N/A</v>
      </c>
      <c r="F109" s="567" t="e">
        <v>#N/A</v>
      </c>
      <c r="G109" t="e">
        <v>#N/A</v>
      </c>
      <c r="H109" s="226" t="e">
        <v>#N/A</v>
      </c>
      <c r="I109" t="e">
        <v>#N/A</v>
      </c>
      <c r="J109" s="569" t="e">
        <v>#N/A</v>
      </c>
      <c r="K109" s="214" t="e">
        <v>#N/A</v>
      </c>
      <c r="L109" s="214" t="e">
        <v>#N/A</v>
      </c>
      <c r="M109" s="214" t="e">
        <v>#N/A</v>
      </c>
      <c r="N109" s="214" t="e">
        <v>#N/A</v>
      </c>
      <c r="O109" s="570" t="e">
        <v>#N/A</v>
      </c>
      <c r="P109" s="571" t="e">
        <v>#N/A</v>
      </c>
      <c r="Q109" s="571" t="e">
        <v>#N/A</v>
      </c>
      <c r="R109" t="e">
        <v>#N/A</v>
      </c>
      <c r="S109" t="e">
        <v>#N/A</v>
      </c>
      <c r="T109" t="e">
        <v>#N/A</v>
      </c>
      <c r="U109" t="e">
        <v>#N/A</v>
      </c>
      <c r="V109" t="e">
        <v>#N/A</v>
      </c>
    </row>
    <row r="110" spans="1:22" ht="13">
      <c r="H110" s="226"/>
      <c r="K110" s="214"/>
      <c r="L110" s="214"/>
      <c r="M110" s="214"/>
      <c r="N110" s="214"/>
    </row>
    <row r="111" spans="1:22" ht="13">
      <c r="H111" s="226"/>
      <c r="K111" s="214"/>
      <c r="L111" s="214"/>
      <c r="M111" s="214"/>
      <c r="N111" s="214"/>
    </row>
    <row r="112" spans="1:22" ht="13">
      <c r="A112" s="207"/>
      <c r="H112" s="226"/>
      <c r="K112" s="214"/>
      <c r="L112" s="214"/>
      <c r="M112" s="214"/>
      <c r="N112" s="214"/>
    </row>
    <row r="113" spans="1:14" ht="13">
      <c r="H113" s="226"/>
      <c r="K113" s="214"/>
      <c r="L113" s="214"/>
      <c r="M113" s="214"/>
      <c r="N113" s="214"/>
    </row>
    <row r="114" spans="1:14" ht="13">
      <c r="H114" s="226"/>
      <c r="K114" s="214"/>
      <c r="L114" s="214"/>
      <c r="M114" s="214"/>
      <c r="N114" s="214"/>
    </row>
    <row r="115" spans="1:14" ht="13">
      <c r="H115" s="226"/>
      <c r="K115" s="214"/>
      <c r="L115" s="214"/>
      <c r="M115" s="214"/>
      <c r="N115" s="214"/>
    </row>
    <row r="116" spans="1:14" ht="13">
      <c r="H116" s="226"/>
      <c r="K116" s="214"/>
      <c r="L116" s="214"/>
      <c r="M116" s="214"/>
      <c r="N116" s="214"/>
    </row>
    <row r="117" spans="1:14" ht="13">
      <c r="A117" s="233"/>
      <c r="H117" s="226"/>
      <c r="K117" s="214"/>
      <c r="L117" s="214"/>
      <c r="M117" s="214"/>
      <c r="N117" s="214"/>
    </row>
    <row r="118" spans="1:14" ht="13">
      <c r="A118" s="233"/>
      <c r="H118" s="226"/>
      <c r="K118" s="214"/>
      <c r="L118" s="214"/>
      <c r="M118" s="214"/>
      <c r="N118" s="214"/>
    </row>
    <row r="119" spans="1:14" ht="13">
      <c r="D119" s="233"/>
      <c r="H119" s="226"/>
      <c r="K119" s="214"/>
      <c r="L119" s="214"/>
      <c r="M119" s="214"/>
      <c r="N119" s="214"/>
    </row>
    <row r="120" spans="1:14" ht="13">
      <c r="A120" s="207"/>
      <c r="D120" s="233"/>
      <c r="H120" s="226"/>
      <c r="K120" s="214"/>
      <c r="L120" s="214"/>
      <c r="M120" s="214"/>
      <c r="N120" s="214"/>
    </row>
    <row r="121" spans="1:14" ht="13">
      <c r="H121" s="226"/>
      <c r="K121" s="214"/>
      <c r="L121" s="214"/>
      <c r="M121" s="214"/>
      <c r="N121" s="214"/>
    </row>
    <row r="122" spans="1:14" ht="13">
      <c r="H122" s="226"/>
      <c r="K122" s="214"/>
      <c r="L122" s="214"/>
      <c r="M122" s="214"/>
      <c r="N122" s="214"/>
    </row>
    <row r="123" spans="1:14" ht="13">
      <c r="H123" s="226"/>
      <c r="K123" s="214"/>
      <c r="L123" s="214"/>
      <c r="M123" s="214"/>
      <c r="N123" s="214"/>
    </row>
    <row r="124" spans="1:14" ht="13">
      <c r="H124" s="226"/>
      <c r="K124" s="214"/>
      <c r="L124" s="214"/>
      <c r="M124" s="214"/>
      <c r="N124" s="214"/>
    </row>
    <row r="125" spans="1:14" ht="13">
      <c r="H125" s="226"/>
      <c r="K125" s="214"/>
      <c r="L125" s="214"/>
      <c r="M125" s="214"/>
      <c r="N125" s="214"/>
    </row>
    <row r="126" spans="1:14" ht="13">
      <c r="H126" s="226"/>
      <c r="K126" s="214"/>
      <c r="L126" s="214"/>
      <c r="M126" s="214"/>
      <c r="N126" s="214"/>
    </row>
    <row r="127" spans="1:14" ht="13">
      <c r="H127" s="226"/>
      <c r="K127" s="214"/>
      <c r="L127" s="214"/>
      <c r="M127" s="214"/>
      <c r="N127" s="214"/>
    </row>
    <row r="128" spans="1:14" ht="13">
      <c r="A128" s="207"/>
      <c r="H128" s="226"/>
      <c r="K128" s="214"/>
      <c r="L128" s="214"/>
      <c r="M128" s="214"/>
      <c r="N128" s="214"/>
    </row>
    <row r="129" spans="1:14" ht="13">
      <c r="A129" s="207"/>
      <c r="H129" s="226"/>
      <c r="K129" s="214"/>
      <c r="L129" s="214"/>
      <c r="M129" s="214"/>
      <c r="N129" s="214"/>
    </row>
    <row r="130" spans="1:14" ht="13">
      <c r="A130" s="207"/>
      <c r="H130" s="226"/>
      <c r="K130" s="214"/>
      <c r="L130" s="214"/>
      <c r="M130" s="214"/>
      <c r="N130" s="214"/>
    </row>
    <row r="131" spans="1:14" ht="13">
      <c r="A131" s="207"/>
      <c r="H131" s="226"/>
      <c r="K131" s="214"/>
      <c r="L131" s="214"/>
      <c r="M131" s="214"/>
      <c r="N131" s="214"/>
    </row>
    <row r="132" spans="1:14" ht="13">
      <c r="A132" s="207"/>
      <c r="H132" s="226"/>
      <c r="K132" s="214"/>
      <c r="L132" s="214"/>
      <c r="M132" s="214"/>
      <c r="N132" s="214"/>
    </row>
    <row r="133" spans="1:14" ht="13">
      <c r="A133" s="207"/>
      <c r="H133" s="226"/>
      <c r="K133" s="214"/>
      <c r="L133" s="214"/>
      <c r="M133" s="214"/>
      <c r="N133" s="214"/>
    </row>
    <row r="134" spans="1:14" ht="13">
      <c r="A134" s="233"/>
      <c r="H134" s="226"/>
      <c r="K134" s="214"/>
      <c r="L134" s="214"/>
      <c r="M134" s="214"/>
      <c r="N134" s="214"/>
    </row>
    <row r="135" spans="1:14" ht="13">
      <c r="A135" s="207"/>
      <c r="H135" s="226"/>
      <c r="K135" s="214"/>
      <c r="L135" s="214"/>
      <c r="M135" s="214"/>
      <c r="N135" s="214"/>
    </row>
    <row r="136" spans="1:14" ht="13">
      <c r="A136" s="207"/>
      <c r="H136" s="226"/>
      <c r="K136" s="214"/>
      <c r="L136" s="214"/>
      <c r="M136" s="214"/>
      <c r="N136" s="214"/>
    </row>
    <row r="137" spans="1:14" ht="13">
      <c r="A137" s="233"/>
      <c r="H137" s="226"/>
      <c r="K137" s="214"/>
      <c r="L137" s="214"/>
      <c r="M137" s="214"/>
      <c r="N137" s="214"/>
    </row>
    <row r="138" spans="1:14" ht="13">
      <c r="A138" s="207"/>
      <c r="H138" s="226"/>
      <c r="K138" s="214"/>
      <c r="L138" s="214"/>
      <c r="M138" s="214"/>
      <c r="N138" s="214"/>
    </row>
    <row r="139" spans="1:14" ht="13">
      <c r="A139" s="207"/>
      <c r="H139" s="226"/>
      <c r="K139" s="214"/>
      <c r="L139" s="214"/>
      <c r="M139" s="214"/>
      <c r="N139" s="214"/>
    </row>
    <row r="140" spans="1:14" ht="13">
      <c r="A140" s="207"/>
      <c r="H140" s="226"/>
      <c r="K140" s="214"/>
      <c r="L140" s="214"/>
      <c r="M140" s="214"/>
      <c r="N140" s="214"/>
    </row>
    <row r="141" spans="1:14" ht="13">
      <c r="A141" s="207"/>
      <c r="H141" s="226"/>
      <c r="K141" s="214"/>
      <c r="L141" s="214"/>
      <c r="M141" s="214"/>
      <c r="N141" s="214"/>
    </row>
    <row r="142" spans="1:14" ht="13">
      <c r="A142" s="207"/>
      <c r="H142" s="226"/>
      <c r="K142" s="214"/>
      <c r="L142" s="214"/>
      <c r="M142" s="214"/>
      <c r="N142" s="214"/>
    </row>
    <row r="143" spans="1:14" ht="13">
      <c r="A143" s="207"/>
      <c r="H143" s="226"/>
      <c r="K143" s="214"/>
      <c r="L143" s="214"/>
      <c r="M143" s="214"/>
      <c r="N143" s="214"/>
    </row>
    <row r="144" spans="1:14" ht="13">
      <c r="A144" s="207"/>
      <c r="H144" s="226"/>
      <c r="K144" s="214"/>
      <c r="L144" s="214"/>
      <c r="M144" s="214"/>
      <c r="N144" s="214"/>
    </row>
    <row r="145" spans="1:14" ht="13">
      <c r="A145" s="207"/>
      <c r="H145" s="226"/>
      <c r="K145" s="214"/>
      <c r="L145" s="214"/>
      <c r="M145" s="214"/>
      <c r="N145" s="214"/>
    </row>
    <row r="146" spans="1:14" ht="13">
      <c r="A146" s="207"/>
      <c r="H146" s="226"/>
      <c r="K146" s="214"/>
      <c r="L146" s="214"/>
      <c r="M146" s="214"/>
      <c r="N146" s="214"/>
    </row>
    <row r="147" spans="1:14" ht="13">
      <c r="A147" s="233"/>
      <c r="H147" s="226"/>
      <c r="K147" s="214"/>
      <c r="L147" s="214"/>
      <c r="M147" s="214"/>
      <c r="N147" s="214"/>
    </row>
    <row r="148" spans="1:14" ht="13">
      <c r="A148" s="233"/>
      <c r="H148" s="226"/>
      <c r="K148" s="214"/>
      <c r="L148" s="214"/>
      <c r="M148" s="214"/>
      <c r="N148" s="214"/>
    </row>
    <row r="149" spans="1:14" ht="13">
      <c r="H149" s="226"/>
      <c r="K149" s="214"/>
      <c r="L149" s="214"/>
      <c r="M149" s="214"/>
      <c r="N149" s="214"/>
    </row>
    <row r="150" spans="1:14" ht="13">
      <c r="H150" s="226"/>
      <c r="K150" s="214"/>
      <c r="L150" s="214"/>
      <c r="M150" s="214"/>
      <c r="N150" s="214"/>
    </row>
    <row r="151" spans="1:14" ht="13">
      <c r="H151" s="226"/>
      <c r="K151" s="214"/>
      <c r="L151" s="214"/>
      <c r="M151" s="214"/>
      <c r="N151" s="214"/>
    </row>
    <row r="152" spans="1:14" ht="13">
      <c r="H152" s="226"/>
      <c r="K152" s="214"/>
      <c r="L152" s="214"/>
      <c r="M152" s="214"/>
      <c r="N152" s="214"/>
    </row>
    <row r="153" spans="1:14" ht="13">
      <c r="H153" s="226"/>
    </row>
    <row r="154" spans="1:14" ht="13">
      <c r="H154" s="226"/>
    </row>
    <row r="155" spans="1:14" ht="13">
      <c r="H155" s="226"/>
    </row>
    <row r="156" spans="1:14" ht="13">
      <c r="H156" s="226"/>
    </row>
    <row r="157" spans="1:14" ht="13">
      <c r="H157" s="226"/>
    </row>
    <row r="158" spans="1:14" ht="13">
      <c r="H158" s="226"/>
    </row>
    <row r="159" spans="1:14" ht="13">
      <c r="H159" s="226"/>
    </row>
    <row r="160" spans="1:14" ht="13">
      <c r="H160" s="226"/>
    </row>
    <row r="161" spans="8:8" ht="13">
      <c r="H161" s="226"/>
    </row>
    <row r="162" spans="8:8" ht="13">
      <c r="H162" s="226"/>
    </row>
    <row r="163" spans="8:8" ht="13">
      <c r="H163" s="226"/>
    </row>
    <row r="164" spans="8:8" ht="13">
      <c r="H164" s="226"/>
    </row>
    <row r="165" spans="8:8" ht="13">
      <c r="H165" s="226"/>
    </row>
    <row r="166" spans="8:8" ht="13">
      <c r="H166" s="226"/>
    </row>
    <row r="167" spans="8:8" ht="13">
      <c r="H167" s="226"/>
    </row>
    <row r="168" spans="8:8" ht="13">
      <c r="H168" s="226"/>
    </row>
    <row r="169" spans="8:8" ht="13">
      <c r="H169" s="226"/>
    </row>
    <row r="170" spans="8:8" ht="13">
      <c r="H170" s="226"/>
    </row>
    <row r="171" spans="8:8" ht="13">
      <c r="H171" s="226"/>
    </row>
    <row r="172" spans="8:8" ht="13">
      <c r="H172" s="226"/>
    </row>
    <row r="173" spans="8:8" ht="13">
      <c r="H173" s="226"/>
    </row>
    <row r="174" spans="8:8" ht="13">
      <c r="H174" s="226"/>
    </row>
    <row r="175" spans="8:8" ht="13">
      <c r="H175" s="226"/>
    </row>
    <row r="176" spans="8:8" ht="13">
      <c r="H176" s="226"/>
    </row>
    <row r="177" spans="8:8" ht="13">
      <c r="H177" s="226"/>
    </row>
    <row r="178" spans="8:8" ht="13">
      <c r="H178" s="226"/>
    </row>
    <row r="179" spans="8:8" ht="13">
      <c r="H179" s="226"/>
    </row>
    <row r="180" spans="8:8" ht="13">
      <c r="H180" s="226"/>
    </row>
    <row r="181" spans="8:8" ht="13">
      <c r="H181" s="226"/>
    </row>
    <row r="182" spans="8:8" ht="13">
      <c r="H182" s="226"/>
    </row>
    <row r="183" spans="8:8" ht="13">
      <c r="H183" s="226"/>
    </row>
    <row r="184" spans="8:8" ht="13">
      <c r="H184" s="226"/>
    </row>
    <row r="185" spans="8:8" ht="13">
      <c r="H185" s="226"/>
    </row>
    <row r="186" spans="8:8" ht="13">
      <c r="H186" s="226"/>
    </row>
    <row r="187" spans="8:8" ht="13">
      <c r="H187" s="226"/>
    </row>
    <row r="188" spans="8:8" ht="13">
      <c r="H188" s="226"/>
    </row>
    <row r="189" spans="8:8" ht="13">
      <c r="H189" s="226"/>
    </row>
    <row r="190" spans="8:8" ht="13">
      <c r="H190" s="226"/>
    </row>
    <row r="191" spans="8:8" ht="13">
      <c r="H191" s="226"/>
    </row>
    <row r="192" spans="8:8" ht="13">
      <c r="H192" s="226"/>
    </row>
    <row r="193" spans="8:8" ht="13">
      <c r="H193" s="226"/>
    </row>
    <row r="194" spans="8:8" ht="13">
      <c r="H194" s="226"/>
    </row>
    <row r="195" spans="8:8" ht="13">
      <c r="H195" s="226"/>
    </row>
    <row r="196" spans="8:8" ht="13">
      <c r="H196" s="226"/>
    </row>
    <row r="197" spans="8:8" ht="13">
      <c r="H197" s="226"/>
    </row>
    <row r="198" spans="8:8" ht="13">
      <c r="H198" s="226"/>
    </row>
    <row r="199" spans="8:8" ht="13">
      <c r="H199" s="226"/>
    </row>
    <row r="200" spans="8:8" ht="13">
      <c r="H200" s="226"/>
    </row>
    <row r="201" spans="8:8" ht="13">
      <c r="H201" s="226"/>
    </row>
    <row r="202" spans="8:8" ht="13">
      <c r="H202" s="226"/>
    </row>
    <row r="203" spans="8:8" ht="13">
      <c r="H203" s="226"/>
    </row>
    <row r="204" spans="8:8" ht="13">
      <c r="H204" s="226"/>
    </row>
    <row r="205" spans="8:8" ht="13">
      <c r="H205" s="226"/>
    </row>
    <row r="206" spans="8:8" ht="13">
      <c r="H206" s="226"/>
    </row>
    <row r="207" spans="8:8" ht="13">
      <c r="H207" s="226"/>
    </row>
    <row r="208" spans="8:8" ht="13">
      <c r="H208" s="226"/>
    </row>
    <row r="209" spans="8:8" ht="13">
      <c r="H209" s="226"/>
    </row>
    <row r="210" spans="8:8" ht="13">
      <c r="H210" s="226"/>
    </row>
    <row r="211" spans="8:8" ht="13">
      <c r="H211" s="226"/>
    </row>
    <row r="212" spans="8:8" ht="13">
      <c r="H212" s="226"/>
    </row>
    <row r="213" spans="8:8" ht="13">
      <c r="H213" s="226"/>
    </row>
    <row r="214" spans="8:8" ht="13">
      <c r="H214" s="226"/>
    </row>
    <row r="215" spans="8:8" ht="13">
      <c r="H215" s="226"/>
    </row>
    <row r="216" spans="8:8" ht="13">
      <c r="H216" s="226"/>
    </row>
    <row r="217" spans="8:8" ht="13">
      <c r="H217" s="226"/>
    </row>
    <row r="218" spans="8:8" ht="13">
      <c r="H218" s="226"/>
    </row>
    <row r="219" spans="8:8" ht="13">
      <c r="H219" s="226"/>
    </row>
    <row r="220" spans="8:8" ht="13">
      <c r="H220" s="226"/>
    </row>
    <row r="221" spans="8:8" ht="13">
      <c r="H221" s="226"/>
    </row>
    <row r="222" spans="8:8" ht="13">
      <c r="H222" s="226"/>
    </row>
    <row r="223" spans="8:8" ht="13">
      <c r="H223" s="226"/>
    </row>
    <row r="224" spans="8:8" ht="13">
      <c r="H224" s="226"/>
    </row>
    <row r="225" spans="8:8" ht="13">
      <c r="H225" s="226"/>
    </row>
    <row r="226" spans="8:8" ht="13">
      <c r="H226" s="226"/>
    </row>
    <row r="227" spans="8:8" ht="13">
      <c r="H227" s="226"/>
    </row>
    <row r="228" spans="8:8" ht="13">
      <c r="H228" s="226"/>
    </row>
    <row r="229" spans="8:8" ht="13">
      <c r="H229" s="226"/>
    </row>
    <row r="230" spans="8:8" ht="13">
      <c r="H230" s="226"/>
    </row>
    <row r="231" spans="8:8" ht="13">
      <c r="H231" s="226"/>
    </row>
    <row r="232" spans="8:8" ht="13">
      <c r="H232" s="226"/>
    </row>
    <row r="233" spans="8:8" ht="13">
      <c r="H233" s="226"/>
    </row>
    <row r="234" spans="8:8" ht="13">
      <c r="H234" s="226"/>
    </row>
    <row r="235" spans="8:8" ht="13">
      <c r="H235" s="226"/>
    </row>
    <row r="236" spans="8:8" ht="13">
      <c r="H236" s="226"/>
    </row>
    <row r="237" spans="8:8" ht="13">
      <c r="H237" s="226"/>
    </row>
    <row r="238" spans="8:8" ht="13">
      <c r="H238" s="226"/>
    </row>
    <row r="239" spans="8:8" ht="13">
      <c r="H239" s="226"/>
    </row>
    <row r="240" spans="8:8" ht="13">
      <c r="H240" s="226"/>
    </row>
    <row r="241" spans="8:8" ht="13">
      <c r="H241" s="226"/>
    </row>
    <row r="242" spans="8:8" ht="13">
      <c r="H242" s="226"/>
    </row>
    <row r="243" spans="8:8" ht="13">
      <c r="H243" s="226"/>
    </row>
    <row r="244" spans="8:8" ht="13">
      <c r="H244" s="226"/>
    </row>
    <row r="245" spans="8:8" ht="13">
      <c r="H245" s="226"/>
    </row>
    <row r="246" spans="8:8" ht="13">
      <c r="H246" s="226"/>
    </row>
    <row r="247" spans="8:8" ht="13">
      <c r="H247" s="226"/>
    </row>
    <row r="248" spans="8:8" ht="13">
      <c r="H248" s="226"/>
    </row>
    <row r="249" spans="8:8" ht="13">
      <c r="H249" s="226"/>
    </row>
    <row r="250" spans="8:8" ht="13">
      <c r="H250" s="226"/>
    </row>
    <row r="251" spans="8:8" ht="13">
      <c r="H251" s="226"/>
    </row>
    <row r="252" spans="8:8" ht="13">
      <c r="H252" s="226"/>
    </row>
    <row r="253" spans="8:8" ht="13">
      <c r="H253" s="226"/>
    </row>
    <row r="254" spans="8:8" ht="13">
      <c r="H254" s="226"/>
    </row>
    <row r="255" spans="8:8" ht="13">
      <c r="H255" s="226"/>
    </row>
    <row r="256" spans="8:8" ht="13">
      <c r="H256" s="226"/>
    </row>
    <row r="257" spans="8:8" ht="13">
      <c r="H257" s="226"/>
    </row>
    <row r="258" spans="8:8" ht="13">
      <c r="H258" s="226"/>
    </row>
    <row r="259" spans="8:8" ht="13">
      <c r="H259" s="226"/>
    </row>
    <row r="260" spans="8:8" ht="13">
      <c r="H260" s="226"/>
    </row>
    <row r="261" spans="8:8" ht="13">
      <c r="H261" s="226"/>
    </row>
    <row r="262" spans="8:8" ht="13">
      <c r="H262" s="226"/>
    </row>
    <row r="263" spans="8:8" ht="13">
      <c r="H263" s="226"/>
    </row>
    <row r="264" spans="8:8" ht="13">
      <c r="H264" s="226"/>
    </row>
    <row r="265" spans="8:8" ht="13">
      <c r="H265" s="226"/>
    </row>
    <row r="266" spans="8:8" ht="13">
      <c r="H266" s="226"/>
    </row>
    <row r="267" spans="8:8" ht="13">
      <c r="H267" s="226"/>
    </row>
    <row r="268" spans="8:8" ht="13">
      <c r="H268" s="226"/>
    </row>
    <row r="269" spans="8:8" ht="13">
      <c r="H269" s="226"/>
    </row>
    <row r="270" spans="8:8" ht="13">
      <c r="H270" s="226"/>
    </row>
    <row r="271" spans="8:8" ht="13">
      <c r="H271" s="226"/>
    </row>
    <row r="272" spans="8:8" ht="13">
      <c r="H272" s="226"/>
    </row>
    <row r="273" spans="8:8" ht="13">
      <c r="H273" s="226"/>
    </row>
    <row r="274" spans="8:8" ht="13">
      <c r="H274" s="226"/>
    </row>
    <row r="275" spans="8:8" ht="13">
      <c r="H275" s="226"/>
    </row>
    <row r="276" spans="8:8" ht="13">
      <c r="H276" s="226"/>
    </row>
    <row r="277" spans="8:8" ht="13">
      <c r="H277" s="226"/>
    </row>
    <row r="278" spans="8:8" ht="13">
      <c r="H278" s="226"/>
    </row>
    <row r="279" spans="8:8" ht="13">
      <c r="H279" s="226"/>
    </row>
    <row r="280" spans="8:8" ht="13">
      <c r="H280" s="226"/>
    </row>
    <row r="281" spans="8:8" ht="13">
      <c r="H281" s="226"/>
    </row>
    <row r="282" spans="8:8" ht="13">
      <c r="H282" s="226"/>
    </row>
    <row r="283" spans="8:8" ht="13">
      <c r="H283" s="226"/>
    </row>
    <row r="284" spans="8:8" ht="13">
      <c r="H284" s="226"/>
    </row>
    <row r="285" spans="8:8" ht="13">
      <c r="H285" s="226"/>
    </row>
    <row r="286" spans="8:8" ht="13">
      <c r="H286" s="226"/>
    </row>
    <row r="287" spans="8:8" ht="13">
      <c r="H287" s="226"/>
    </row>
    <row r="288" spans="8:8" ht="13">
      <c r="H288" s="226"/>
    </row>
    <row r="289" spans="8:8" ht="13">
      <c r="H289" s="226"/>
    </row>
    <row r="290" spans="8:8" ht="13">
      <c r="H290" s="226"/>
    </row>
    <row r="291" spans="8:8" ht="13">
      <c r="H291" s="226"/>
    </row>
    <row r="292" spans="8:8" ht="13">
      <c r="H292" s="226"/>
    </row>
    <row r="293" spans="8:8" ht="13">
      <c r="H293" s="226"/>
    </row>
    <row r="294" spans="8:8" ht="13">
      <c r="H294" s="226"/>
    </row>
    <row r="295" spans="8:8" ht="13">
      <c r="H295" s="226"/>
    </row>
    <row r="296" spans="8:8" ht="13">
      <c r="H296" s="226"/>
    </row>
    <row r="297" spans="8:8" ht="13">
      <c r="H297" s="226"/>
    </row>
    <row r="298" spans="8:8" ht="13">
      <c r="H298" s="226"/>
    </row>
    <row r="299" spans="8:8" ht="13">
      <c r="H299" s="226"/>
    </row>
    <row r="300" spans="8:8" ht="13">
      <c r="H300" s="226"/>
    </row>
    <row r="301" spans="8:8" ht="13">
      <c r="H301" s="226"/>
    </row>
    <row r="302" spans="8:8" ht="13">
      <c r="H302" s="226"/>
    </row>
    <row r="303" spans="8:8" ht="13">
      <c r="H303" s="226"/>
    </row>
    <row r="304" spans="8:8" ht="13">
      <c r="H304" s="226"/>
    </row>
    <row r="305" spans="8:8" ht="13">
      <c r="H305" s="226"/>
    </row>
    <row r="306" spans="8:8" ht="13">
      <c r="H306" s="226"/>
    </row>
    <row r="307" spans="8:8" ht="13">
      <c r="H307" s="226"/>
    </row>
    <row r="308" spans="8:8" ht="13">
      <c r="H308" s="226"/>
    </row>
    <row r="309" spans="8:8" ht="13">
      <c r="H309" s="226"/>
    </row>
    <row r="310" spans="8:8" ht="13">
      <c r="H310" s="226"/>
    </row>
    <row r="311" spans="8:8" ht="13">
      <c r="H311" s="226"/>
    </row>
    <row r="312" spans="8:8" ht="13">
      <c r="H312" s="226"/>
    </row>
    <row r="313" spans="8:8" ht="13">
      <c r="H313" s="226"/>
    </row>
    <row r="314" spans="8:8" ht="13">
      <c r="H314" s="226"/>
    </row>
    <row r="315" spans="8:8" ht="13">
      <c r="H315" s="226"/>
    </row>
    <row r="316" spans="8:8" ht="13">
      <c r="H316" s="226"/>
    </row>
    <row r="317" spans="8:8" ht="13">
      <c r="H317" s="226"/>
    </row>
    <row r="318" spans="8:8" ht="13">
      <c r="H318" s="226"/>
    </row>
    <row r="319" spans="8:8" ht="13">
      <c r="H319" s="226"/>
    </row>
    <row r="320" spans="8:8" ht="13">
      <c r="H320" s="226"/>
    </row>
    <row r="321" spans="8:8" ht="13">
      <c r="H321" s="226"/>
    </row>
    <row r="322" spans="8:8" ht="13">
      <c r="H322" s="226"/>
    </row>
    <row r="323" spans="8:8" ht="13">
      <c r="H323" s="226"/>
    </row>
    <row r="324" spans="8:8" ht="13">
      <c r="H324" s="226"/>
    </row>
    <row r="325" spans="8:8" ht="13">
      <c r="H325" s="226"/>
    </row>
    <row r="326" spans="8:8" ht="13">
      <c r="H326" s="226"/>
    </row>
    <row r="327" spans="8:8" ht="13">
      <c r="H327" s="226"/>
    </row>
    <row r="328" spans="8:8" ht="13">
      <c r="H328" s="226"/>
    </row>
    <row r="329" spans="8:8" ht="13">
      <c r="H329" s="226"/>
    </row>
    <row r="330" spans="8:8" ht="13">
      <c r="H330" s="226"/>
    </row>
    <row r="331" spans="8:8" ht="13">
      <c r="H331" s="226"/>
    </row>
    <row r="332" spans="8:8" ht="13">
      <c r="H332" s="226"/>
    </row>
    <row r="333" spans="8:8" ht="13">
      <c r="H333" s="226"/>
    </row>
    <row r="334" spans="8:8" ht="13">
      <c r="H334" s="226"/>
    </row>
    <row r="335" spans="8:8" ht="13">
      <c r="H335" s="226"/>
    </row>
    <row r="336" spans="8:8" ht="13">
      <c r="H336" s="226"/>
    </row>
    <row r="337" spans="8:8" ht="13">
      <c r="H337" s="226"/>
    </row>
    <row r="338" spans="8:8" ht="13">
      <c r="H338" s="226"/>
    </row>
    <row r="339" spans="8:8" ht="13">
      <c r="H339" s="226"/>
    </row>
    <row r="340" spans="8:8" ht="13">
      <c r="H340" s="226"/>
    </row>
    <row r="341" spans="8:8" ht="13">
      <c r="H341" s="226"/>
    </row>
    <row r="342" spans="8:8" ht="13">
      <c r="H342" s="226"/>
    </row>
    <row r="343" spans="8:8" ht="13">
      <c r="H343" s="226"/>
    </row>
    <row r="344" spans="8:8" ht="13">
      <c r="H344" s="226"/>
    </row>
    <row r="345" spans="8:8" ht="13">
      <c r="H345" s="226"/>
    </row>
    <row r="346" spans="8:8" ht="13">
      <c r="H346" s="226"/>
    </row>
    <row r="347" spans="8:8" ht="13">
      <c r="H347" s="226"/>
    </row>
    <row r="348" spans="8:8" ht="13">
      <c r="H348" s="226"/>
    </row>
    <row r="349" spans="8:8" ht="13">
      <c r="H349" s="226"/>
    </row>
    <row r="350" spans="8:8" ht="13">
      <c r="H350" s="226"/>
    </row>
    <row r="351" spans="8:8" ht="13">
      <c r="H351" s="226"/>
    </row>
    <row r="352" spans="8:8" ht="13">
      <c r="H352" s="226"/>
    </row>
    <row r="353" spans="8:8" ht="13">
      <c r="H353" s="226"/>
    </row>
    <row r="354" spans="8:8" ht="13">
      <c r="H354" s="226"/>
    </row>
    <row r="355" spans="8:8" ht="13">
      <c r="H355" s="226"/>
    </row>
    <row r="356" spans="8:8" ht="13">
      <c r="H356" s="226"/>
    </row>
    <row r="357" spans="8:8" ht="13">
      <c r="H357" s="226"/>
    </row>
    <row r="358" spans="8:8" ht="13">
      <c r="H358" s="226"/>
    </row>
    <row r="359" spans="8:8" ht="13">
      <c r="H359" s="226"/>
    </row>
    <row r="360" spans="8:8" ht="13">
      <c r="H360" s="226"/>
    </row>
    <row r="361" spans="8:8" ht="13">
      <c r="H361" s="226"/>
    </row>
    <row r="362" spans="8:8" ht="13">
      <c r="H362" s="226"/>
    </row>
    <row r="363" spans="8:8" ht="13">
      <c r="H363" s="226"/>
    </row>
    <row r="364" spans="8:8" ht="13">
      <c r="H364" s="226"/>
    </row>
    <row r="365" spans="8:8" ht="13">
      <c r="H365" s="226"/>
    </row>
    <row r="366" spans="8:8" ht="13">
      <c r="H366" s="226"/>
    </row>
    <row r="367" spans="8:8" ht="13">
      <c r="H367" s="226"/>
    </row>
    <row r="368" spans="8:8" ht="13">
      <c r="H368" s="226"/>
    </row>
    <row r="369" spans="8:8" ht="13">
      <c r="H369" s="226"/>
    </row>
    <row r="370" spans="8:8" ht="13">
      <c r="H370" s="226"/>
    </row>
    <row r="371" spans="8:8" ht="13">
      <c r="H371" s="226"/>
    </row>
    <row r="372" spans="8:8" ht="13">
      <c r="H372" s="226"/>
    </row>
    <row r="373" spans="8:8" ht="13">
      <c r="H373" s="226"/>
    </row>
    <row r="374" spans="8:8" ht="13">
      <c r="H374" s="226"/>
    </row>
    <row r="375" spans="8:8" ht="13">
      <c r="H375" s="226"/>
    </row>
    <row r="376" spans="8:8" ht="13">
      <c r="H376" s="226"/>
    </row>
    <row r="377" spans="8:8" ht="13">
      <c r="H377" s="226"/>
    </row>
    <row r="378" spans="8:8" ht="13">
      <c r="H378" s="226"/>
    </row>
    <row r="379" spans="8:8" ht="13">
      <c r="H379" s="226"/>
    </row>
    <row r="380" spans="8:8" ht="13">
      <c r="H380" s="226"/>
    </row>
    <row r="381" spans="8:8" ht="13">
      <c r="H381" s="226"/>
    </row>
    <row r="382" spans="8:8" ht="13">
      <c r="H382" s="226"/>
    </row>
    <row r="383" spans="8:8" ht="13">
      <c r="H383" s="226"/>
    </row>
    <row r="384" spans="8:8" ht="13">
      <c r="H384" s="226"/>
    </row>
    <row r="385" spans="8:8" ht="13">
      <c r="H385" s="226"/>
    </row>
    <row r="386" spans="8:8" ht="13">
      <c r="H386" s="226"/>
    </row>
    <row r="387" spans="8:8" ht="13">
      <c r="H387" s="226"/>
    </row>
    <row r="388" spans="8:8" ht="13">
      <c r="H388" s="226"/>
    </row>
    <row r="389" spans="8:8" ht="13">
      <c r="H389" s="226"/>
    </row>
    <row r="390" spans="8:8" ht="13">
      <c r="H390" s="226"/>
    </row>
    <row r="391" spans="8:8" ht="13">
      <c r="H391" s="226"/>
    </row>
    <row r="392" spans="8:8" ht="13">
      <c r="H392" s="226"/>
    </row>
    <row r="393" spans="8:8" ht="13">
      <c r="H393" s="226"/>
    </row>
    <row r="394" spans="8:8" ht="13">
      <c r="H394" s="226"/>
    </row>
    <row r="395" spans="8:8" ht="13">
      <c r="H395" s="226"/>
    </row>
    <row r="396" spans="8:8" ht="13">
      <c r="H396" s="226"/>
    </row>
    <row r="397" spans="8:8" ht="13">
      <c r="H397" s="226"/>
    </row>
    <row r="398" spans="8:8" ht="13">
      <c r="H398" s="226"/>
    </row>
    <row r="399" spans="8:8" ht="13">
      <c r="H399" s="226"/>
    </row>
    <row r="400" spans="8:8" ht="13">
      <c r="H400" s="226"/>
    </row>
    <row r="401" spans="8:8" ht="13">
      <c r="H401" s="226"/>
    </row>
    <row r="402" spans="8:8" ht="13">
      <c r="H402" s="226"/>
    </row>
    <row r="403" spans="8:8" ht="13">
      <c r="H403" s="226"/>
    </row>
    <row r="404" spans="8:8" ht="13">
      <c r="H404" s="226"/>
    </row>
    <row r="405" spans="8:8" ht="13">
      <c r="H405" s="226"/>
    </row>
    <row r="406" spans="8:8" ht="13">
      <c r="H406" s="226"/>
    </row>
    <row r="407" spans="8:8" ht="13">
      <c r="H407" s="226"/>
    </row>
    <row r="408" spans="8:8" ht="13">
      <c r="H408" s="226"/>
    </row>
    <row r="409" spans="8:8" ht="13">
      <c r="H409" s="226"/>
    </row>
    <row r="410" spans="8:8" ht="13">
      <c r="H410" s="226"/>
    </row>
    <row r="411" spans="8:8" ht="13">
      <c r="H411" s="226"/>
    </row>
    <row r="412" spans="8:8" ht="13">
      <c r="H412" s="226"/>
    </row>
    <row r="413" spans="8:8" ht="13">
      <c r="H413" s="226"/>
    </row>
    <row r="414" spans="8:8" ht="13">
      <c r="H414" s="226"/>
    </row>
    <row r="415" spans="8:8" ht="13">
      <c r="H415" s="226"/>
    </row>
    <row r="416" spans="8:8" ht="13">
      <c r="H416" s="226"/>
    </row>
    <row r="417" spans="8:8" ht="13">
      <c r="H417" s="226"/>
    </row>
    <row r="418" spans="8:8" ht="13">
      <c r="H418" s="226"/>
    </row>
    <row r="419" spans="8:8" ht="13">
      <c r="H419" s="226"/>
    </row>
    <row r="420" spans="8:8" ht="13">
      <c r="H420" s="226"/>
    </row>
    <row r="421" spans="8:8" ht="13">
      <c r="H421" s="226"/>
    </row>
    <row r="422" spans="8:8" ht="13">
      <c r="H422" s="226"/>
    </row>
    <row r="423" spans="8:8" ht="13">
      <c r="H423" s="226"/>
    </row>
    <row r="424" spans="8:8" ht="13">
      <c r="H424" s="226"/>
    </row>
    <row r="425" spans="8:8" ht="13">
      <c r="H425" s="226"/>
    </row>
    <row r="426" spans="8:8" ht="13">
      <c r="H426" s="226"/>
    </row>
    <row r="427" spans="8:8" ht="13">
      <c r="H427" s="226"/>
    </row>
    <row r="428" spans="8:8" ht="13">
      <c r="H428" s="226"/>
    </row>
    <row r="429" spans="8:8" ht="13">
      <c r="H429" s="226"/>
    </row>
    <row r="430" spans="8:8" ht="13">
      <c r="H430" s="226"/>
    </row>
    <row r="431" spans="8:8" ht="13">
      <c r="H431" s="226"/>
    </row>
    <row r="432" spans="8:8" ht="13">
      <c r="H432" s="226"/>
    </row>
    <row r="433" spans="8:8" ht="13">
      <c r="H433" s="226"/>
    </row>
    <row r="434" spans="8:8" ht="13">
      <c r="H434" s="226"/>
    </row>
    <row r="435" spans="8:8" ht="13">
      <c r="H435" s="226"/>
    </row>
    <row r="436" spans="8:8" ht="13">
      <c r="H436" s="226"/>
    </row>
    <row r="437" spans="8:8" ht="13">
      <c r="H437" s="226"/>
    </row>
    <row r="438" spans="8:8" ht="13">
      <c r="H438" s="226"/>
    </row>
    <row r="439" spans="8:8" ht="13">
      <c r="H439" s="226"/>
    </row>
    <row r="440" spans="8:8" ht="13">
      <c r="H440" s="226"/>
    </row>
    <row r="441" spans="8:8" ht="13">
      <c r="H441" s="226"/>
    </row>
    <row r="442" spans="8:8" ht="13">
      <c r="H442" s="226"/>
    </row>
    <row r="443" spans="8:8" ht="13">
      <c r="H443" s="226"/>
    </row>
    <row r="444" spans="8:8" ht="13">
      <c r="H444" s="226"/>
    </row>
    <row r="445" spans="8:8" ht="13">
      <c r="H445" s="226"/>
    </row>
    <row r="446" spans="8:8" ht="13">
      <c r="H446" s="226"/>
    </row>
    <row r="447" spans="8:8" ht="13">
      <c r="H447" s="226"/>
    </row>
    <row r="448" spans="8:8" ht="13">
      <c r="H448" s="226"/>
    </row>
    <row r="449" spans="8:8" ht="13">
      <c r="H449" s="226"/>
    </row>
    <row r="450" spans="8:8" ht="13">
      <c r="H450" s="226"/>
    </row>
    <row r="451" spans="8:8" ht="13">
      <c r="H451" s="226"/>
    </row>
    <row r="452" spans="8:8" ht="13">
      <c r="H452" s="226"/>
    </row>
    <row r="453" spans="8:8" ht="13">
      <c r="H453" s="226"/>
    </row>
    <row r="454" spans="8:8" ht="13">
      <c r="H454" s="226"/>
    </row>
    <row r="455" spans="8:8" ht="13">
      <c r="H455" s="226"/>
    </row>
    <row r="456" spans="8:8" ht="13">
      <c r="H456" s="226"/>
    </row>
    <row r="457" spans="8:8" ht="13">
      <c r="H457" s="226"/>
    </row>
    <row r="458" spans="8:8" ht="13">
      <c r="H458" s="226"/>
    </row>
    <row r="459" spans="8:8" ht="13">
      <c r="H459" s="226"/>
    </row>
    <row r="460" spans="8:8" ht="13">
      <c r="H460" s="226"/>
    </row>
    <row r="461" spans="8:8" ht="13">
      <c r="H461" s="226"/>
    </row>
    <row r="462" spans="8:8" ht="13">
      <c r="H462" s="226"/>
    </row>
    <row r="463" spans="8:8" ht="13">
      <c r="H463" s="226"/>
    </row>
    <row r="464" spans="8:8" ht="13">
      <c r="H464" s="226"/>
    </row>
    <row r="465" spans="8:8" ht="13">
      <c r="H465" s="226"/>
    </row>
    <row r="466" spans="8:8" ht="13">
      <c r="H466" s="226"/>
    </row>
    <row r="467" spans="8:8" ht="13">
      <c r="H467" s="226"/>
    </row>
    <row r="468" spans="8:8" ht="13">
      <c r="H468" s="226"/>
    </row>
    <row r="469" spans="8:8" ht="13">
      <c r="H469" s="226"/>
    </row>
    <row r="470" spans="8:8" ht="13">
      <c r="H470" s="226"/>
    </row>
    <row r="471" spans="8:8" ht="13">
      <c r="H471" s="226"/>
    </row>
    <row r="472" spans="8:8" ht="13">
      <c r="H472" s="226"/>
    </row>
    <row r="473" spans="8:8" ht="13">
      <c r="H473" s="226"/>
    </row>
    <row r="474" spans="8:8" ht="13">
      <c r="H474" s="226"/>
    </row>
    <row r="475" spans="8:8" ht="13">
      <c r="H475" s="226"/>
    </row>
    <row r="476" spans="8:8" ht="13">
      <c r="H476" s="226"/>
    </row>
    <row r="477" spans="8:8" ht="13">
      <c r="H477" s="226"/>
    </row>
    <row r="478" spans="8:8" ht="13">
      <c r="H478" s="226"/>
    </row>
    <row r="479" spans="8:8" ht="13">
      <c r="H479" s="226"/>
    </row>
    <row r="480" spans="8:8" ht="13">
      <c r="H480" s="226"/>
    </row>
    <row r="481" spans="8:8" ht="13">
      <c r="H481" s="226"/>
    </row>
    <row r="482" spans="8:8" ht="13">
      <c r="H482" s="226"/>
    </row>
    <row r="483" spans="8:8" ht="13">
      <c r="H483" s="226"/>
    </row>
    <row r="484" spans="8:8" ht="13">
      <c r="H484" s="226"/>
    </row>
    <row r="485" spans="8:8" ht="13">
      <c r="H485" s="226"/>
    </row>
    <row r="486" spans="8:8" ht="13">
      <c r="H486" s="226"/>
    </row>
    <row r="487" spans="8:8" ht="13">
      <c r="H487" s="226"/>
    </row>
    <row r="488" spans="8:8" ht="13">
      <c r="H488" s="226"/>
    </row>
    <row r="489" spans="8:8" ht="13">
      <c r="H489" s="226"/>
    </row>
    <row r="490" spans="8:8" ht="13">
      <c r="H490" s="226"/>
    </row>
    <row r="491" spans="8:8" ht="13">
      <c r="H491" s="226"/>
    </row>
    <row r="492" spans="8:8" ht="13">
      <c r="H492" s="226"/>
    </row>
    <row r="493" spans="8:8" ht="13">
      <c r="H493" s="226"/>
    </row>
    <row r="494" spans="8:8" ht="13">
      <c r="H494" s="226"/>
    </row>
    <row r="495" spans="8:8" ht="13">
      <c r="H495" s="226"/>
    </row>
    <row r="496" spans="8:8" ht="13">
      <c r="H496" s="226"/>
    </row>
    <row r="497" spans="8:8" ht="13">
      <c r="H497" s="226"/>
    </row>
    <row r="498" spans="8:8" ht="13">
      <c r="H498" s="226"/>
    </row>
    <row r="499" spans="8:8" ht="13">
      <c r="H499" s="226"/>
    </row>
    <row r="500" spans="8:8" ht="13">
      <c r="H500" s="226"/>
    </row>
    <row r="501" spans="8:8" ht="13">
      <c r="H501" s="226"/>
    </row>
    <row r="502" spans="8:8" ht="13">
      <c r="H502" s="226"/>
    </row>
    <row r="503" spans="8:8" ht="13">
      <c r="H503" s="226"/>
    </row>
    <row r="504" spans="8:8" ht="13">
      <c r="H504" s="226"/>
    </row>
    <row r="505" spans="8:8" ht="13">
      <c r="H505" s="226"/>
    </row>
    <row r="506" spans="8:8" ht="13">
      <c r="H506" s="226"/>
    </row>
    <row r="507" spans="8:8" ht="13">
      <c r="H507" s="226"/>
    </row>
    <row r="508" spans="8:8" ht="13">
      <c r="H508" s="226"/>
    </row>
    <row r="509" spans="8:8" ht="13">
      <c r="H509" s="226"/>
    </row>
    <row r="510" spans="8:8" ht="13">
      <c r="H510" s="226"/>
    </row>
    <row r="511" spans="8:8" ht="13">
      <c r="H511" s="226"/>
    </row>
    <row r="512" spans="8:8" ht="13">
      <c r="H512" s="226"/>
    </row>
    <row r="513" spans="8:8" ht="13">
      <c r="H513" s="226"/>
    </row>
    <row r="514" spans="8:8" ht="13">
      <c r="H514" s="226"/>
    </row>
    <row r="515" spans="8:8" ht="13">
      <c r="H515" s="226"/>
    </row>
    <row r="516" spans="8:8" ht="13">
      <c r="H516" s="226"/>
    </row>
    <row r="517" spans="8:8" ht="13">
      <c r="H517" s="226"/>
    </row>
    <row r="518" spans="8:8" ht="13">
      <c r="H518" s="226"/>
    </row>
    <row r="519" spans="8:8" ht="13">
      <c r="H519" s="226"/>
    </row>
    <row r="520" spans="8:8" ht="13">
      <c r="H520" s="226"/>
    </row>
    <row r="521" spans="8:8" ht="13">
      <c r="H521" s="226"/>
    </row>
    <row r="522" spans="8:8" ht="13">
      <c r="H522" s="226"/>
    </row>
    <row r="523" spans="8:8" ht="13">
      <c r="H523" s="226"/>
    </row>
    <row r="524" spans="8:8" ht="13">
      <c r="H524" s="226"/>
    </row>
    <row r="525" spans="8:8" ht="13">
      <c r="H525" s="226"/>
    </row>
    <row r="526" spans="8:8" ht="13">
      <c r="H526" s="226"/>
    </row>
    <row r="527" spans="8:8" ht="13">
      <c r="H527" s="226"/>
    </row>
    <row r="528" spans="8:8" ht="13">
      <c r="H528" s="226"/>
    </row>
    <row r="529" spans="8:8" ht="13">
      <c r="H529" s="226"/>
    </row>
    <row r="530" spans="8:8" ht="13">
      <c r="H530" s="226"/>
    </row>
    <row r="531" spans="8:8" ht="13">
      <c r="H531" s="226"/>
    </row>
    <row r="532" spans="8:8" ht="13">
      <c r="H532" s="226"/>
    </row>
    <row r="533" spans="8:8" ht="13">
      <c r="H533" s="226"/>
    </row>
    <row r="534" spans="8:8" ht="13">
      <c r="H534" s="226"/>
    </row>
    <row r="535" spans="8:8" ht="13">
      <c r="H535" s="226"/>
    </row>
    <row r="536" spans="8:8" ht="13">
      <c r="H536" s="226"/>
    </row>
    <row r="537" spans="8:8" ht="13">
      <c r="H537" s="226"/>
    </row>
    <row r="538" spans="8:8" ht="13">
      <c r="H538" s="226"/>
    </row>
    <row r="539" spans="8:8" ht="13">
      <c r="H539" s="226"/>
    </row>
    <row r="540" spans="8:8" ht="13">
      <c r="H540" s="226"/>
    </row>
    <row r="541" spans="8:8" ht="13">
      <c r="H541" s="226"/>
    </row>
    <row r="542" spans="8:8" ht="13">
      <c r="H542" s="226"/>
    </row>
    <row r="543" spans="8:8" ht="13">
      <c r="H543" s="226"/>
    </row>
    <row r="544" spans="8:8" ht="13">
      <c r="H544" s="226"/>
    </row>
    <row r="545" spans="8:8" ht="13">
      <c r="H545" s="226"/>
    </row>
    <row r="546" spans="8:8" ht="13">
      <c r="H546" s="226"/>
    </row>
    <row r="547" spans="8:8" ht="13">
      <c r="H547" s="226"/>
    </row>
    <row r="548" spans="8:8" ht="13">
      <c r="H548" s="226"/>
    </row>
    <row r="549" spans="8:8" ht="13">
      <c r="H549" s="226"/>
    </row>
    <row r="550" spans="8:8" ht="13">
      <c r="H550" s="226"/>
    </row>
    <row r="551" spans="8:8" ht="13">
      <c r="H551" s="226"/>
    </row>
    <row r="552" spans="8:8" ht="13">
      <c r="H552" s="226"/>
    </row>
    <row r="553" spans="8:8" ht="13">
      <c r="H553" s="226"/>
    </row>
    <row r="554" spans="8:8" ht="13">
      <c r="H554" s="226"/>
    </row>
    <row r="555" spans="8:8" ht="13">
      <c r="H555" s="226"/>
    </row>
    <row r="556" spans="8:8" ht="13">
      <c r="H556" s="226"/>
    </row>
    <row r="557" spans="8:8" ht="13">
      <c r="H557" s="226"/>
    </row>
    <row r="558" spans="8:8" ht="13">
      <c r="H558" s="226"/>
    </row>
    <row r="559" spans="8:8" ht="13">
      <c r="H559" s="226"/>
    </row>
    <row r="560" spans="8:8" ht="13">
      <c r="H560" s="226"/>
    </row>
    <row r="561" spans="8:8" ht="13">
      <c r="H561" s="226"/>
    </row>
    <row r="562" spans="8:8" ht="13">
      <c r="H562" s="226"/>
    </row>
    <row r="563" spans="8:8" ht="13">
      <c r="H563" s="226"/>
    </row>
    <row r="564" spans="8:8" ht="13">
      <c r="H564" s="226"/>
    </row>
    <row r="565" spans="8:8" ht="13">
      <c r="H565" s="226"/>
    </row>
    <row r="566" spans="8:8" ht="13">
      <c r="H566" s="226"/>
    </row>
    <row r="567" spans="8:8" ht="13">
      <c r="H567" s="226"/>
    </row>
    <row r="568" spans="8:8" ht="13">
      <c r="H568" s="226"/>
    </row>
    <row r="569" spans="8:8" ht="13">
      <c r="H569" s="226"/>
    </row>
    <row r="570" spans="8:8" ht="13">
      <c r="H570" s="226"/>
    </row>
    <row r="571" spans="8:8" ht="13">
      <c r="H571" s="226"/>
    </row>
    <row r="572" spans="8:8" ht="13">
      <c r="H572" s="226"/>
    </row>
    <row r="573" spans="8:8" ht="13">
      <c r="H573" s="226"/>
    </row>
    <row r="574" spans="8:8" ht="13">
      <c r="H574" s="226"/>
    </row>
    <row r="575" spans="8:8" ht="13">
      <c r="H575" s="226"/>
    </row>
    <row r="576" spans="8:8" ht="13">
      <c r="H576" s="226"/>
    </row>
    <row r="577" spans="8:8" ht="13">
      <c r="H577" s="226"/>
    </row>
    <row r="578" spans="8:8" ht="13">
      <c r="H578" s="226"/>
    </row>
    <row r="579" spans="8:8" ht="13">
      <c r="H579" s="226"/>
    </row>
    <row r="580" spans="8:8" ht="13">
      <c r="H580" s="226"/>
    </row>
    <row r="581" spans="8:8" ht="13">
      <c r="H581" s="226"/>
    </row>
    <row r="582" spans="8:8" ht="13">
      <c r="H582" s="226"/>
    </row>
    <row r="583" spans="8:8" ht="13">
      <c r="H583" s="226"/>
    </row>
    <row r="584" spans="8:8" ht="13">
      <c r="H584" s="226"/>
    </row>
    <row r="585" spans="8:8" ht="13">
      <c r="H585" s="226"/>
    </row>
    <row r="586" spans="8:8" ht="13">
      <c r="H586" s="226"/>
    </row>
    <row r="587" spans="8:8" ht="13">
      <c r="H587" s="226"/>
    </row>
    <row r="588" spans="8:8" ht="13">
      <c r="H588" s="226"/>
    </row>
    <row r="589" spans="8:8" ht="13">
      <c r="H589" s="226"/>
    </row>
    <row r="590" spans="8:8" ht="13">
      <c r="H590" s="226"/>
    </row>
    <row r="591" spans="8:8" ht="13">
      <c r="H591" s="226"/>
    </row>
    <row r="592" spans="8:8" ht="13">
      <c r="H592" s="226"/>
    </row>
    <row r="593" spans="8:8" ht="13">
      <c r="H593" s="226"/>
    </row>
    <row r="594" spans="8:8" ht="13">
      <c r="H594" s="226"/>
    </row>
    <row r="595" spans="8:8" ht="13">
      <c r="H595" s="226"/>
    </row>
    <row r="596" spans="8:8" ht="13">
      <c r="H596" s="226"/>
    </row>
    <row r="597" spans="8:8" ht="13">
      <c r="H597" s="226"/>
    </row>
    <row r="598" spans="8:8" ht="13">
      <c r="H598" s="226"/>
    </row>
    <row r="599" spans="8:8" ht="13">
      <c r="H599" s="226"/>
    </row>
    <row r="600" spans="8:8" ht="13">
      <c r="H600" s="226"/>
    </row>
    <row r="601" spans="8:8" ht="13">
      <c r="H601" s="226"/>
    </row>
    <row r="602" spans="8:8" ht="13">
      <c r="H602" s="226"/>
    </row>
    <row r="603" spans="8:8" ht="13">
      <c r="H603" s="226"/>
    </row>
    <row r="604" spans="8:8" ht="13">
      <c r="H604" s="226"/>
    </row>
    <row r="605" spans="8:8" ht="13">
      <c r="H605" s="226"/>
    </row>
    <row r="606" spans="8:8" ht="13">
      <c r="H606" s="226"/>
    </row>
    <row r="607" spans="8:8" ht="13">
      <c r="H607" s="226"/>
    </row>
    <row r="608" spans="8:8" ht="13">
      <c r="H608" s="226"/>
    </row>
    <row r="609" spans="8:8" ht="13">
      <c r="H609" s="226"/>
    </row>
    <row r="610" spans="8:8" ht="13">
      <c r="H610" s="226"/>
    </row>
    <row r="611" spans="8:8" ht="13">
      <c r="H611" s="226"/>
    </row>
    <row r="612" spans="8:8" ht="13">
      <c r="H612" s="226"/>
    </row>
    <row r="613" spans="8:8" ht="13">
      <c r="H613" s="226"/>
    </row>
    <row r="614" spans="8:8" ht="13">
      <c r="H614" s="226"/>
    </row>
    <row r="615" spans="8:8" ht="13">
      <c r="H615" s="226"/>
    </row>
    <row r="616" spans="8:8" ht="13">
      <c r="H616" s="226"/>
    </row>
    <row r="617" spans="8:8" ht="13">
      <c r="H617" s="226"/>
    </row>
    <row r="618" spans="8:8" ht="13">
      <c r="H618" s="226"/>
    </row>
    <row r="619" spans="8:8" ht="13">
      <c r="H619" s="226"/>
    </row>
    <row r="620" spans="8:8" ht="13">
      <c r="H620" s="226"/>
    </row>
    <row r="621" spans="8:8" ht="13">
      <c r="H621" s="226"/>
    </row>
    <row r="622" spans="8:8" ht="13">
      <c r="H622" s="226"/>
    </row>
    <row r="623" spans="8:8" ht="13">
      <c r="H623" s="226"/>
    </row>
    <row r="624" spans="8:8" ht="13">
      <c r="H624" s="226"/>
    </row>
    <row r="625" spans="8:8" ht="13">
      <c r="H625" s="226"/>
    </row>
    <row r="626" spans="8:8" ht="13">
      <c r="H626" s="226"/>
    </row>
    <row r="627" spans="8:8" ht="13">
      <c r="H627" s="226"/>
    </row>
    <row r="628" spans="8:8" ht="13">
      <c r="H628" s="226"/>
    </row>
    <row r="629" spans="8:8" ht="13">
      <c r="H629" s="226"/>
    </row>
    <row r="630" spans="8:8" ht="13">
      <c r="H630" s="226"/>
    </row>
    <row r="631" spans="8:8" ht="13">
      <c r="H631" s="226"/>
    </row>
    <row r="632" spans="8:8" ht="13">
      <c r="H632" s="226"/>
    </row>
    <row r="633" spans="8:8" ht="13">
      <c r="H633" s="226"/>
    </row>
    <row r="634" spans="8:8" ht="13">
      <c r="H634" s="226"/>
    </row>
    <row r="635" spans="8:8" ht="13">
      <c r="H635" s="226"/>
    </row>
    <row r="636" spans="8:8" ht="13">
      <c r="H636" s="226"/>
    </row>
    <row r="637" spans="8:8" ht="13">
      <c r="H637" s="226"/>
    </row>
    <row r="638" spans="8:8" ht="13">
      <c r="H638" s="226"/>
    </row>
    <row r="639" spans="8:8" ht="13">
      <c r="H639" s="226"/>
    </row>
    <row r="640" spans="8:8" ht="13">
      <c r="H640" s="226"/>
    </row>
    <row r="641" spans="8:8" ht="13">
      <c r="H641" s="226"/>
    </row>
    <row r="642" spans="8:8" ht="13">
      <c r="H642" s="226"/>
    </row>
    <row r="643" spans="8:8" ht="13">
      <c r="H643" s="226"/>
    </row>
    <row r="644" spans="8:8" ht="13">
      <c r="H644" s="226"/>
    </row>
    <row r="645" spans="8:8" ht="13">
      <c r="H645" s="226"/>
    </row>
    <row r="646" spans="8:8" ht="13">
      <c r="H646" s="226"/>
    </row>
    <row r="647" spans="8:8" ht="13">
      <c r="H647" s="226"/>
    </row>
    <row r="648" spans="8:8" ht="13">
      <c r="H648" s="226"/>
    </row>
    <row r="649" spans="8:8" ht="13">
      <c r="H649" s="226"/>
    </row>
    <row r="650" spans="8:8" ht="13">
      <c r="H650" s="226"/>
    </row>
    <row r="651" spans="8:8" ht="13">
      <c r="H651" s="226"/>
    </row>
    <row r="652" spans="8:8" ht="13">
      <c r="H652" s="226"/>
    </row>
    <row r="653" spans="8:8" ht="13">
      <c r="H653" s="226"/>
    </row>
    <row r="654" spans="8:8" ht="13">
      <c r="H654" s="226"/>
    </row>
    <row r="655" spans="8:8" ht="13">
      <c r="H655" s="226"/>
    </row>
    <row r="656" spans="8:8" ht="13">
      <c r="H656" s="226"/>
    </row>
    <row r="657" spans="8:8" ht="13">
      <c r="H657" s="226"/>
    </row>
    <row r="658" spans="8:8" ht="13">
      <c r="H658" s="226"/>
    </row>
    <row r="659" spans="8:8" ht="13">
      <c r="H659" s="226"/>
    </row>
    <row r="660" spans="8:8" ht="13">
      <c r="H660" s="226"/>
    </row>
    <row r="661" spans="8:8" ht="13">
      <c r="H661" s="226"/>
    </row>
    <row r="662" spans="8:8" ht="13">
      <c r="H662" s="226"/>
    </row>
    <row r="663" spans="8:8" ht="13">
      <c r="H663" s="226"/>
    </row>
    <row r="664" spans="8:8" ht="13">
      <c r="H664" s="226"/>
    </row>
    <row r="665" spans="8:8" ht="13">
      <c r="H665" s="226"/>
    </row>
    <row r="666" spans="8:8" ht="13">
      <c r="H666" s="226"/>
    </row>
    <row r="667" spans="8:8" ht="13">
      <c r="H667" s="226"/>
    </row>
    <row r="668" spans="8:8" ht="13">
      <c r="H668" s="226"/>
    </row>
    <row r="669" spans="8:8" ht="13">
      <c r="H669" s="226"/>
    </row>
    <row r="670" spans="8:8" ht="13">
      <c r="H670" s="226"/>
    </row>
    <row r="671" spans="8:8" ht="13">
      <c r="H671" s="226"/>
    </row>
    <row r="672" spans="8:8" ht="13">
      <c r="H672" s="226"/>
    </row>
    <row r="673" spans="8:8" ht="13">
      <c r="H673" s="226"/>
    </row>
    <row r="674" spans="8:8" ht="13">
      <c r="H674" s="226"/>
    </row>
    <row r="675" spans="8:8" ht="13">
      <c r="H675" s="226"/>
    </row>
    <row r="676" spans="8:8" ht="13">
      <c r="H676" s="226"/>
    </row>
    <row r="677" spans="8:8" ht="13">
      <c r="H677" s="226"/>
    </row>
    <row r="678" spans="8:8" ht="13">
      <c r="H678" s="226"/>
    </row>
    <row r="679" spans="8:8" ht="13">
      <c r="H679" s="226"/>
    </row>
    <row r="680" spans="8:8" ht="13">
      <c r="H680" s="226"/>
    </row>
    <row r="681" spans="8:8" ht="13">
      <c r="H681" s="226"/>
    </row>
    <row r="682" spans="8:8" ht="13">
      <c r="H682" s="226"/>
    </row>
    <row r="683" spans="8:8" ht="13">
      <c r="H683" s="226"/>
    </row>
    <row r="684" spans="8:8" ht="13">
      <c r="H684" s="226"/>
    </row>
    <row r="685" spans="8:8" ht="13">
      <c r="H685" s="226"/>
    </row>
    <row r="686" spans="8:8" ht="13">
      <c r="H686" s="226"/>
    </row>
    <row r="687" spans="8:8" ht="13">
      <c r="H687" s="226"/>
    </row>
    <row r="688" spans="8:8" ht="13">
      <c r="H688" s="226"/>
    </row>
    <row r="689" spans="8:8" ht="13">
      <c r="H689" s="226"/>
    </row>
    <row r="690" spans="8:8" ht="13">
      <c r="H690" s="226"/>
    </row>
    <row r="691" spans="8:8" ht="13">
      <c r="H691" s="226"/>
    </row>
    <row r="692" spans="8:8" ht="13">
      <c r="H692" s="226"/>
    </row>
    <row r="693" spans="8:8" ht="13">
      <c r="H693" s="226"/>
    </row>
    <row r="694" spans="8:8" ht="13">
      <c r="H694" s="226"/>
    </row>
    <row r="695" spans="8:8" ht="13">
      <c r="H695" s="226"/>
    </row>
    <row r="696" spans="8:8" ht="13">
      <c r="H696" s="226"/>
    </row>
    <row r="697" spans="8:8" ht="13">
      <c r="H697" s="226"/>
    </row>
    <row r="698" spans="8:8" ht="13">
      <c r="H698" s="226"/>
    </row>
    <row r="699" spans="8:8" ht="13">
      <c r="H699" s="226"/>
    </row>
    <row r="700" spans="8:8" ht="13">
      <c r="H700" s="226"/>
    </row>
    <row r="701" spans="8:8" ht="13">
      <c r="H701" s="226"/>
    </row>
    <row r="702" spans="8:8" ht="13">
      <c r="H702" s="226"/>
    </row>
    <row r="703" spans="8:8" ht="13">
      <c r="H703" s="226"/>
    </row>
    <row r="704" spans="8:8" ht="13">
      <c r="H704" s="226"/>
    </row>
    <row r="705" spans="8:8" ht="13">
      <c r="H705" s="226"/>
    </row>
    <row r="706" spans="8:8" ht="13">
      <c r="H706" s="226"/>
    </row>
    <row r="707" spans="8:8" ht="13">
      <c r="H707" s="226"/>
    </row>
    <row r="708" spans="8:8" ht="13">
      <c r="H708" s="226"/>
    </row>
    <row r="709" spans="8:8" ht="13">
      <c r="H709" s="226"/>
    </row>
    <row r="710" spans="8:8" ht="13">
      <c r="H710" s="226"/>
    </row>
    <row r="711" spans="8:8" ht="13">
      <c r="H711" s="226"/>
    </row>
    <row r="712" spans="8:8" ht="13">
      <c r="H712" s="226"/>
    </row>
    <row r="713" spans="8:8" ht="13">
      <c r="H713" s="226"/>
    </row>
    <row r="714" spans="8:8" ht="13">
      <c r="H714" s="226"/>
    </row>
    <row r="715" spans="8:8" ht="13">
      <c r="H715" s="226"/>
    </row>
    <row r="716" spans="8:8" ht="13">
      <c r="H716" s="226"/>
    </row>
    <row r="717" spans="8:8" ht="13">
      <c r="H717" s="226"/>
    </row>
    <row r="718" spans="8:8" ht="13">
      <c r="H718" s="226"/>
    </row>
    <row r="719" spans="8:8" ht="13">
      <c r="H719" s="226"/>
    </row>
    <row r="720" spans="8:8" ht="13">
      <c r="H720" s="226"/>
    </row>
    <row r="721" spans="8:8" ht="13">
      <c r="H721" s="226"/>
    </row>
    <row r="722" spans="8:8" ht="13">
      <c r="H722" s="226"/>
    </row>
    <row r="723" spans="8:8" ht="13">
      <c r="H723" s="226"/>
    </row>
    <row r="724" spans="8:8" ht="13">
      <c r="H724" s="226"/>
    </row>
    <row r="725" spans="8:8" ht="13">
      <c r="H725" s="226"/>
    </row>
    <row r="726" spans="8:8" ht="13">
      <c r="H726" s="226"/>
    </row>
    <row r="727" spans="8:8" ht="13">
      <c r="H727" s="226"/>
    </row>
    <row r="728" spans="8:8" ht="13">
      <c r="H728" s="226"/>
    </row>
    <row r="729" spans="8:8" ht="13">
      <c r="H729" s="226"/>
    </row>
    <row r="730" spans="8:8" ht="13">
      <c r="H730" s="226"/>
    </row>
    <row r="731" spans="8:8" ht="13">
      <c r="H731" s="226"/>
    </row>
    <row r="732" spans="8:8" ht="13">
      <c r="H732" s="226"/>
    </row>
    <row r="733" spans="8:8" ht="13">
      <c r="H733" s="226"/>
    </row>
    <row r="734" spans="8:8" ht="13">
      <c r="H734" s="226"/>
    </row>
    <row r="735" spans="8:8" ht="13">
      <c r="H735" s="226"/>
    </row>
    <row r="736" spans="8:8" ht="13">
      <c r="H736" s="226"/>
    </row>
    <row r="737" spans="8:8" ht="13">
      <c r="H737" s="226"/>
    </row>
    <row r="738" spans="8:8" ht="13">
      <c r="H738" s="226"/>
    </row>
    <row r="739" spans="8:8" ht="13">
      <c r="H739" s="226"/>
    </row>
    <row r="740" spans="8:8" ht="13">
      <c r="H740" s="226"/>
    </row>
    <row r="741" spans="8:8" ht="13">
      <c r="H741" s="226"/>
    </row>
    <row r="742" spans="8:8" ht="13">
      <c r="H742" s="226"/>
    </row>
    <row r="743" spans="8:8" ht="13">
      <c r="H743" s="226"/>
    </row>
    <row r="744" spans="8:8" ht="13">
      <c r="H744" s="226"/>
    </row>
    <row r="745" spans="8:8" ht="13">
      <c r="H745" s="226"/>
    </row>
    <row r="746" spans="8:8" ht="13">
      <c r="H746" s="226"/>
    </row>
    <row r="747" spans="8:8" ht="13">
      <c r="H747" s="226"/>
    </row>
    <row r="748" spans="8:8" ht="13">
      <c r="H748" s="226"/>
    </row>
    <row r="749" spans="8:8" ht="13">
      <c r="H749" s="226"/>
    </row>
    <row r="750" spans="8:8" ht="13">
      <c r="H750" s="226"/>
    </row>
    <row r="751" spans="8:8" ht="13">
      <c r="H751" s="226"/>
    </row>
    <row r="752" spans="8:8" ht="13">
      <c r="H752" s="226"/>
    </row>
    <row r="753" spans="8:8" ht="13">
      <c r="H753" s="226"/>
    </row>
    <row r="754" spans="8:8" ht="13">
      <c r="H754" s="226"/>
    </row>
    <row r="755" spans="8:8" ht="13">
      <c r="H755" s="226"/>
    </row>
    <row r="756" spans="8:8" ht="13">
      <c r="H756" s="226"/>
    </row>
    <row r="757" spans="8:8" ht="13">
      <c r="H757" s="226"/>
    </row>
    <row r="758" spans="8:8" ht="13">
      <c r="H758" s="226"/>
    </row>
    <row r="759" spans="8:8" ht="13">
      <c r="H759" s="226"/>
    </row>
    <row r="760" spans="8:8" ht="13">
      <c r="H760" s="226"/>
    </row>
    <row r="761" spans="8:8" ht="13">
      <c r="H761" s="226"/>
    </row>
    <row r="762" spans="8:8" ht="13">
      <c r="H762" s="226"/>
    </row>
    <row r="763" spans="8:8" ht="13">
      <c r="H763" s="226"/>
    </row>
    <row r="764" spans="8:8" ht="13">
      <c r="H764" s="226"/>
    </row>
    <row r="765" spans="8:8" ht="13">
      <c r="H765" s="226"/>
    </row>
    <row r="766" spans="8:8" ht="13">
      <c r="H766" s="226"/>
    </row>
    <row r="767" spans="8:8" ht="13">
      <c r="H767" s="226"/>
    </row>
    <row r="768" spans="8:8" ht="13">
      <c r="H768" s="226"/>
    </row>
    <row r="769" spans="8:8" ht="13">
      <c r="H769" s="226"/>
    </row>
    <row r="770" spans="8:8" ht="13">
      <c r="H770" s="226"/>
    </row>
    <row r="771" spans="8:8" ht="13">
      <c r="H771" s="226"/>
    </row>
    <row r="772" spans="8:8" ht="13">
      <c r="H772" s="226"/>
    </row>
    <row r="773" spans="8:8" ht="13">
      <c r="H773" s="226"/>
    </row>
    <row r="774" spans="8:8" ht="13">
      <c r="H774" s="226"/>
    </row>
    <row r="775" spans="8:8" ht="13">
      <c r="H775" s="226"/>
    </row>
    <row r="776" spans="8:8" ht="13">
      <c r="H776" s="226"/>
    </row>
    <row r="777" spans="8:8" ht="13">
      <c r="H777" s="226"/>
    </row>
    <row r="778" spans="8:8" ht="13">
      <c r="H778" s="226"/>
    </row>
    <row r="779" spans="8:8" ht="13">
      <c r="H779" s="226"/>
    </row>
    <row r="780" spans="8:8" ht="13">
      <c r="H780" s="226"/>
    </row>
    <row r="781" spans="8:8" ht="13">
      <c r="H781" s="226"/>
    </row>
    <row r="782" spans="8:8" ht="13">
      <c r="H782" s="226"/>
    </row>
    <row r="783" spans="8:8" ht="13">
      <c r="H783" s="226"/>
    </row>
    <row r="784" spans="8:8" ht="13">
      <c r="H784" s="226"/>
    </row>
    <row r="785" spans="8:8" ht="13">
      <c r="H785" s="226"/>
    </row>
    <row r="786" spans="8:8" ht="13">
      <c r="H786" s="226"/>
    </row>
    <row r="787" spans="8:8" ht="13">
      <c r="H787" s="226"/>
    </row>
    <row r="788" spans="8:8" ht="13">
      <c r="H788" s="226"/>
    </row>
    <row r="789" spans="8:8" ht="13">
      <c r="H789" s="226"/>
    </row>
    <row r="790" spans="8:8" ht="13">
      <c r="H790" s="226"/>
    </row>
    <row r="791" spans="8:8" ht="13">
      <c r="H791" s="226"/>
    </row>
    <row r="792" spans="8:8" ht="13">
      <c r="H792" s="226"/>
    </row>
    <row r="793" spans="8:8" ht="13">
      <c r="H793" s="226"/>
    </row>
    <row r="794" spans="8:8" ht="13">
      <c r="H794" s="226"/>
    </row>
    <row r="795" spans="8:8" ht="13">
      <c r="H795" s="226"/>
    </row>
    <row r="796" spans="8:8" ht="13">
      <c r="H796" s="226"/>
    </row>
    <row r="797" spans="8:8" ht="13">
      <c r="H797" s="226"/>
    </row>
    <row r="798" spans="8:8" ht="13">
      <c r="H798" s="226"/>
    </row>
    <row r="799" spans="8:8" ht="13">
      <c r="H799" s="226"/>
    </row>
    <row r="800" spans="8:8" ht="13">
      <c r="H800" s="226"/>
    </row>
    <row r="801" spans="8:8" ht="13">
      <c r="H801" s="226"/>
    </row>
    <row r="802" spans="8:8" ht="13">
      <c r="H802" s="226"/>
    </row>
    <row r="803" spans="8:8" ht="13">
      <c r="H803" s="226"/>
    </row>
    <row r="804" spans="8:8" ht="13">
      <c r="H804" s="226"/>
    </row>
    <row r="805" spans="8:8" ht="13">
      <c r="H805" s="226"/>
    </row>
    <row r="806" spans="8:8" ht="13">
      <c r="H806" s="226"/>
    </row>
    <row r="807" spans="8:8" ht="13">
      <c r="H807" s="226"/>
    </row>
    <row r="808" spans="8:8" ht="13">
      <c r="H808" s="226"/>
    </row>
    <row r="809" spans="8:8" ht="13">
      <c r="H809" s="226"/>
    </row>
    <row r="810" spans="8:8" ht="13">
      <c r="H810" s="226"/>
    </row>
    <row r="811" spans="8:8" ht="13">
      <c r="H811" s="226"/>
    </row>
    <row r="812" spans="8:8" ht="13">
      <c r="H812" s="226"/>
    </row>
    <row r="813" spans="8:8" ht="13">
      <c r="H813" s="226"/>
    </row>
    <row r="814" spans="8:8" ht="13">
      <c r="H814" s="226"/>
    </row>
    <row r="815" spans="8:8" ht="13">
      <c r="H815" s="226"/>
    </row>
    <row r="816" spans="8:8" ht="13">
      <c r="H816" s="226"/>
    </row>
    <row r="817" spans="8:8" ht="13">
      <c r="H817" s="226"/>
    </row>
    <row r="818" spans="8:8" ht="13">
      <c r="H818" s="226"/>
    </row>
    <row r="819" spans="8:8" ht="13">
      <c r="H819" s="226"/>
    </row>
    <row r="820" spans="8:8" ht="13">
      <c r="H820" s="226"/>
    </row>
    <row r="821" spans="8:8" ht="13">
      <c r="H821" s="226"/>
    </row>
    <row r="822" spans="8:8" ht="13">
      <c r="H822" s="226"/>
    </row>
    <row r="823" spans="8:8" ht="13">
      <c r="H823" s="226"/>
    </row>
    <row r="824" spans="8:8" ht="13">
      <c r="H824" s="226"/>
    </row>
    <row r="825" spans="8:8" ht="13">
      <c r="H825" s="226"/>
    </row>
    <row r="826" spans="8:8" ht="13">
      <c r="H826" s="226"/>
    </row>
    <row r="827" spans="8:8" ht="13">
      <c r="H827" s="226"/>
    </row>
    <row r="828" spans="8:8" ht="13">
      <c r="H828" s="226"/>
    </row>
    <row r="829" spans="8:8" ht="13">
      <c r="H829" s="226"/>
    </row>
    <row r="830" spans="8:8" ht="13">
      <c r="H830" s="226"/>
    </row>
    <row r="831" spans="8:8" ht="13">
      <c r="H831" s="226"/>
    </row>
    <row r="832" spans="8:8" ht="13">
      <c r="H832" s="226"/>
    </row>
    <row r="833" spans="8:8" ht="13">
      <c r="H833" s="226"/>
    </row>
    <row r="834" spans="8:8" ht="13">
      <c r="H834" s="226"/>
    </row>
    <row r="835" spans="8:8" ht="13">
      <c r="H835" s="226"/>
    </row>
    <row r="836" spans="8:8" ht="13">
      <c r="H836" s="226"/>
    </row>
    <row r="837" spans="8:8" ht="13">
      <c r="H837" s="226"/>
    </row>
    <row r="838" spans="8:8" ht="13">
      <c r="H838" s="226"/>
    </row>
    <row r="839" spans="8:8" ht="13">
      <c r="H839" s="226"/>
    </row>
    <row r="840" spans="8:8" ht="13">
      <c r="H840" s="226"/>
    </row>
    <row r="841" spans="8:8" ht="13">
      <c r="H841" s="226"/>
    </row>
    <row r="842" spans="8:8" ht="13">
      <c r="H842" s="226"/>
    </row>
    <row r="843" spans="8:8" ht="13">
      <c r="H843" s="226"/>
    </row>
    <row r="844" spans="8:8" ht="13">
      <c r="H844" s="226"/>
    </row>
    <row r="845" spans="8:8" ht="13">
      <c r="H845" s="226"/>
    </row>
    <row r="846" spans="8:8" ht="13">
      <c r="H846" s="226"/>
    </row>
    <row r="847" spans="8:8" ht="13">
      <c r="H847" s="226"/>
    </row>
    <row r="848" spans="8:8" ht="13">
      <c r="H848" s="226"/>
    </row>
    <row r="849" spans="8:8" ht="13">
      <c r="H849" s="226"/>
    </row>
    <row r="850" spans="8:8" ht="13">
      <c r="H850" s="226"/>
    </row>
    <row r="851" spans="8:8" ht="13">
      <c r="H851" s="226"/>
    </row>
    <row r="852" spans="8:8" ht="13">
      <c r="H852" s="226"/>
    </row>
    <row r="853" spans="8:8" ht="13">
      <c r="H853" s="226"/>
    </row>
    <row r="854" spans="8:8" ht="13">
      <c r="H854" s="226"/>
    </row>
    <row r="855" spans="8:8" ht="13">
      <c r="H855" s="226"/>
    </row>
    <row r="856" spans="8:8" ht="13">
      <c r="H856" s="226"/>
    </row>
    <row r="857" spans="8:8" ht="13">
      <c r="H857" s="226"/>
    </row>
    <row r="858" spans="8:8" ht="13">
      <c r="H858" s="226"/>
    </row>
    <row r="859" spans="8:8" ht="13">
      <c r="H859" s="226"/>
    </row>
    <row r="860" spans="8:8" ht="13">
      <c r="H860" s="226"/>
    </row>
    <row r="861" spans="8:8" ht="13">
      <c r="H861" s="226"/>
    </row>
    <row r="862" spans="8:8" ht="13">
      <c r="H862" s="226"/>
    </row>
    <row r="863" spans="8:8" ht="13">
      <c r="H863" s="226"/>
    </row>
    <row r="864" spans="8:8" ht="13">
      <c r="H864" s="226"/>
    </row>
    <row r="865" spans="8:8" ht="13">
      <c r="H865" s="226"/>
    </row>
    <row r="866" spans="8:8" ht="13">
      <c r="H866" s="226"/>
    </row>
    <row r="867" spans="8:8" ht="13">
      <c r="H867" s="226"/>
    </row>
    <row r="868" spans="8:8" ht="13">
      <c r="H868" s="226"/>
    </row>
    <row r="869" spans="8:8" ht="13">
      <c r="H869" s="226"/>
    </row>
    <row r="870" spans="8:8" ht="13">
      <c r="H870" s="226"/>
    </row>
    <row r="871" spans="8:8" ht="13">
      <c r="H871" s="226"/>
    </row>
    <row r="872" spans="8:8" ht="13">
      <c r="H872" s="226"/>
    </row>
    <row r="873" spans="8:8" ht="13">
      <c r="H873" s="226"/>
    </row>
    <row r="874" spans="8:8" ht="13">
      <c r="H874" s="226"/>
    </row>
    <row r="875" spans="8:8" ht="13">
      <c r="H875" s="226"/>
    </row>
    <row r="876" spans="8:8" ht="13">
      <c r="H876" s="226"/>
    </row>
    <row r="877" spans="8:8" ht="13">
      <c r="H877" s="226"/>
    </row>
    <row r="878" spans="8:8" ht="13">
      <c r="H878" s="226"/>
    </row>
    <row r="879" spans="8:8" ht="13">
      <c r="H879" s="226"/>
    </row>
    <row r="880" spans="8:8" ht="13">
      <c r="H880" s="226"/>
    </row>
    <row r="881" spans="8:8" ht="13">
      <c r="H881" s="226"/>
    </row>
    <row r="882" spans="8:8" ht="13">
      <c r="H882" s="226"/>
    </row>
    <row r="883" spans="8:8" ht="13">
      <c r="H883" s="226"/>
    </row>
    <row r="884" spans="8:8" ht="13">
      <c r="H884" s="226"/>
    </row>
    <row r="885" spans="8:8" ht="13">
      <c r="H885" s="226"/>
    </row>
    <row r="886" spans="8:8" ht="13">
      <c r="H886" s="226"/>
    </row>
    <row r="887" spans="8:8" ht="13">
      <c r="H887" s="226"/>
    </row>
    <row r="888" spans="8:8" ht="13">
      <c r="H888" s="226"/>
    </row>
    <row r="889" spans="8:8" ht="13">
      <c r="H889" s="226"/>
    </row>
    <row r="890" spans="8:8" ht="13">
      <c r="H890" s="226"/>
    </row>
    <row r="891" spans="8:8" ht="13">
      <c r="H891" s="226"/>
    </row>
    <row r="892" spans="8:8" ht="13">
      <c r="H892" s="226"/>
    </row>
    <row r="893" spans="8:8" ht="13">
      <c r="H893" s="226"/>
    </row>
    <row r="894" spans="8:8" ht="13">
      <c r="H894" s="226"/>
    </row>
    <row r="895" spans="8:8" ht="13">
      <c r="H895" s="226"/>
    </row>
    <row r="896" spans="8:8" ht="13">
      <c r="H896" s="226"/>
    </row>
    <row r="897" spans="8:8" ht="13">
      <c r="H897" s="226"/>
    </row>
    <row r="898" spans="8:8" ht="13">
      <c r="H898" s="226"/>
    </row>
    <row r="899" spans="8:8" ht="13">
      <c r="H899" s="226"/>
    </row>
    <row r="900" spans="8:8" ht="13">
      <c r="H900" s="226"/>
    </row>
    <row r="901" spans="8:8" ht="13">
      <c r="H901" s="226"/>
    </row>
    <row r="902" spans="8:8" ht="13">
      <c r="H902" s="226"/>
    </row>
    <row r="903" spans="8:8" ht="13">
      <c r="H903" s="226"/>
    </row>
    <row r="904" spans="8:8" ht="13">
      <c r="H904" s="226"/>
    </row>
    <row r="905" spans="8:8" ht="13">
      <c r="H905" s="226"/>
    </row>
    <row r="906" spans="8:8" ht="13">
      <c r="H906" s="226"/>
    </row>
    <row r="907" spans="8:8" ht="13">
      <c r="H907" s="226"/>
    </row>
    <row r="908" spans="8:8" ht="13">
      <c r="H908" s="226"/>
    </row>
    <row r="909" spans="8:8" ht="13">
      <c r="H909" s="226"/>
    </row>
    <row r="910" spans="8:8" ht="13">
      <c r="H910" s="226"/>
    </row>
    <row r="911" spans="8:8" ht="13">
      <c r="H911" s="226"/>
    </row>
    <row r="912" spans="8:8" ht="13">
      <c r="H912" s="226"/>
    </row>
    <row r="913" spans="8:8" ht="13">
      <c r="H913" s="226"/>
    </row>
    <row r="914" spans="8:8" ht="13">
      <c r="H914" s="226"/>
    </row>
    <row r="915" spans="8:8" ht="13">
      <c r="H915" s="226"/>
    </row>
    <row r="916" spans="8:8" ht="13">
      <c r="H916" s="226"/>
    </row>
    <row r="917" spans="8:8" ht="13">
      <c r="H917" s="226"/>
    </row>
    <row r="918" spans="8:8" ht="13">
      <c r="H918" s="226"/>
    </row>
    <row r="919" spans="8:8" ht="13">
      <c r="H919" s="226"/>
    </row>
    <row r="920" spans="8:8" ht="13">
      <c r="H920" s="226"/>
    </row>
    <row r="921" spans="8:8" ht="13">
      <c r="H921" s="226"/>
    </row>
    <row r="922" spans="8:8" ht="13">
      <c r="H922" s="226"/>
    </row>
    <row r="923" spans="8:8" ht="13">
      <c r="H923" s="226"/>
    </row>
    <row r="924" spans="8:8" ht="13">
      <c r="H924" s="226"/>
    </row>
    <row r="925" spans="8:8" ht="13">
      <c r="H925" s="226"/>
    </row>
    <row r="926" spans="8:8" ht="13">
      <c r="H926" s="226"/>
    </row>
    <row r="927" spans="8:8" ht="13">
      <c r="H927" s="226"/>
    </row>
    <row r="928" spans="8:8" ht="13">
      <c r="H928" s="226"/>
    </row>
    <row r="929" spans="8:8" ht="13">
      <c r="H929" s="226"/>
    </row>
    <row r="930" spans="8:8" ht="13">
      <c r="H930" s="226"/>
    </row>
    <row r="931" spans="8:8" ht="13">
      <c r="H931" s="226"/>
    </row>
    <row r="932" spans="8:8" ht="13">
      <c r="H932" s="226"/>
    </row>
    <row r="933" spans="8:8" ht="13">
      <c r="H933" s="226"/>
    </row>
    <row r="934" spans="8:8" ht="13">
      <c r="H934" s="226"/>
    </row>
    <row r="935" spans="8:8" ht="13">
      <c r="H935" s="226"/>
    </row>
    <row r="936" spans="8:8" ht="13">
      <c r="H936" s="226"/>
    </row>
    <row r="937" spans="8:8" ht="13">
      <c r="H937" s="226"/>
    </row>
    <row r="938" spans="8:8" ht="13">
      <c r="H938" s="226"/>
    </row>
    <row r="939" spans="8:8" ht="13">
      <c r="H939" s="226"/>
    </row>
    <row r="940" spans="8:8" ht="13">
      <c r="H940" s="226"/>
    </row>
    <row r="941" spans="8:8" ht="13">
      <c r="H941" s="226"/>
    </row>
    <row r="942" spans="8:8" ht="13">
      <c r="H942" s="226"/>
    </row>
    <row r="943" spans="8:8" ht="13">
      <c r="H943" s="226"/>
    </row>
    <row r="944" spans="8:8" ht="13">
      <c r="H944" s="226"/>
    </row>
    <row r="945" spans="8:8" ht="13">
      <c r="H945" s="226"/>
    </row>
    <row r="946" spans="8:8" ht="13">
      <c r="H946" s="226"/>
    </row>
    <row r="947" spans="8:8" ht="13">
      <c r="H947" s="226"/>
    </row>
    <row r="948" spans="8:8" ht="13">
      <c r="H948" s="226"/>
    </row>
    <row r="949" spans="8:8" ht="13">
      <c r="H949" s="226"/>
    </row>
    <row r="950" spans="8:8" ht="13">
      <c r="H950" s="226"/>
    </row>
    <row r="951" spans="8:8" ht="13">
      <c r="H951" s="226"/>
    </row>
    <row r="952" spans="8:8" ht="13">
      <c r="H952" s="226"/>
    </row>
    <row r="953" spans="8:8" ht="13">
      <c r="H953" s="226"/>
    </row>
    <row r="954" spans="8:8" ht="13">
      <c r="H954" s="226"/>
    </row>
    <row r="955" spans="8:8" ht="13">
      <c r="H955" s="226"/>
    </row>
    <row r="956" spans="8:8" ht="13">
      <c r="H956" s="226"/>
    </row>
    <row r="957" spans="8:8" ht="13">
      <c r="H957" s="226"/>
    </row>
    <row r="958" spans="8:8" ht="13">
      <c r="H958" s="226"/>
    </row>
    <row r="959" spans="8:8" ht="13">
      <c r="H959" s="226"/>
    </row>
    <row r="960" spans="8:8" ht="13">
      <c r="H960" s="226"/>
    </row>
    <row r="961" spans="8:8" ht="13">
      <c r="H961" s="226"/>
    </row>
    <row r="962" spans="8:8" ht="13">
      <c r="H962" s="226"/>
    </row>
    <row r="963" spans="8:8" ht="13">
      <c r="H963" s="226"/>
    </row>
    <row r="964" spans="8:8" ht="13">
      <c r="H964" s="226"/>
    </row>
    <row r="965" spans="8:8" ht="13">
      <c r="H965" s="226"/>
    </row>
    <row r="966" spans="8:8" ht="13">
      <c r="H966" s="226"/>
    </row>
    <row r="967" spans="8:8" ht="13">
      <c r="H967" s="226"/>
    </row>
    <row r="968" spans="8:8" ht="13">
      <c r="H968" s="226"/>
    </row>
    <row r="969" spans="8:8" ht="13">
      <c r="H969" s="226"/>
    </row>
    <row r="970" spans="8:8" ht="13">
      <c r="H970" s="226"/>
    </row>
    <row r="971" spans="8:8" ht="13">
      <c r="H971" s="226"/>
    </row>
    <row r="972" spans="8:8" ht="13">
      <c r="H972" s="226"/>
    </row>
    <row r="973" spans="8:8" ht="13">
      <c r="H973" s="226"/>
    </row>
    <row r="974" spans="8:8" ht="13">
      <c r="H974" s="226"/>
    </row>
    <row r="975" spans="8:8" ht="13">
      <c r="H975" s="226"/>
    </row>
    <row r="976" spans="8:8" ht="13">
      <c r="H976" s="226"/>
    </row>
    <row r="977" spans="8:8" ht="13">
      <c r="H977" s="226"/>
    </row>
    <row r="978" spans="8:8" ht="13">
      <c r="H978" s="226"/>
    </row>
    <row r="979" spans="8:8" ht="13">
      <c r="H979" s="226"/>
    </row>
    <row r="980" spans="8:8" ht="13">
      <c r="H980" s="226"/>
    </row>
    <row r="981" spans="8:8" ht="13">
      <c r="H981" s="226"/>
    </row>
    <row r="982" spans="8:8" ht="13">
      <c r="H982" s="226"/>
    </row>
    <row r="983" spans="8:8" ht="13">
      <c r="H983" s="226"/>
    </row>
    <row r="984" spans="8:8" ht="13">
      <c r="H984" s="226"/>
    </row>
    <row r="985" spans="8:8" ht="13">
      <c r="H985" s="226"/>
    </row>
    <row r="986" spans="8:8" ht="13">
      <c r="H986" s="226"/>
    </row>
    <row r="987" spans="8:8" ht="13">
      <c r="H987" s="226"/>
    </row>
    <row r="988" spans="8:8" ht="13">
      <c r="H988" s="226"/>
    </row>
    <row r="989" spans="8:8" ht="13">
      <c r="H989" s="226"/>
    </row>
    <row r="990" spans="8:8" ht="13">
      <c r="H990" s="226"/>
    </row>
    <row r="991" spans="8:8" ht="13">
      <c r="H991" s="226"/>
    </row>
    <row r="992" spans="8:8" ht="13">
      <c r="H992" s="226"/>
    </row>
    <row r="993" spans="8:8" ht="13">
      <c r="H993" s="226"/>
    </row>
    <row r="994" spans="8:8" ht="13">
      <c r="H994" s="226"/>
    </row>
    <row r="995" spans="8:8" ht="13">
      <c r="H995" s="226"/>
    </row>
    <row r="996" spans="8:8" ht="13">
      <c r="H996" s="226"/>
    </row>
    <row r="997" spans="8:8" ht="13">
      <c r="H997" s="226"/>
    </row>
    <row r="998" spans="8:8" ht="13">
      <c r="H998" s="226"/>
    </row>
    <row r="999" spans="8:8" ht="13">
      <c r="H999" s="226"/>
    </row>
    <row r="1000" spans="8:8" ht="13">
      <c r="H1000" s="226"/>
    </row>
    <row r="1001" spans="8:8" ht="13">
      <c r="H1001" s="226"/>
    </row>
    <row r="1002" spans="8:8" ht="13">
      <c r="H1002" s="226"/>
    </row>
    <row r="1003" spans="8:8" ht="13">
      <c r="H1003" s="226"/>
    </row>
    <row r="1004" spans="8:8" ht="13">
      <c r="H1004" s="226"/>
    </row>
    <row r="1005" spans="8:8" ht="13">
      <c r="H1005" s="226"/>
    </row>
    <row r="1006" spans="8:8" ht="13">
      <c r="H1006" s="226"/>
    </row>
    <row r="1007" spans="8:8" ht="13">
      <c r="H1007" s="226"/>
    </row>
    <row r="1008" spans="8:8" ht="13">
      <c r="H1008" s="226"/>
    </row>
    <row r="1009" spans="8:8" ht="13">
      <c r="H1009" s="226"/>
    </row>
    <row r="1010" spans="8:8" ht="13">
      <c r="H1010" s="226"/>
    </row>
    <row r="1011" spans="8:8" ht="13">
      <c r="H1011" s="226"/>
    </row>
    <row r="1012" spans="8:8" ht="13">
      <c r="H1012" s="226"/>
    </row>
    <row r="1013" spans="8:8" ht="13">
      <c r="H1013" s="226"/>
    </row>
    <row r="1014" spans="8:8" ht="13">
      <c r="H1014" s="226"/>
    </row>
    <row r="1015" spans="8:8" ht="13">
      <c r="H1015" s="226"/>
    </row>
    <row r="1016" spans="8:8" ht="13">
      <c r="H1016" s="226"/>
    </row>
    <row r="1017" spans="8:8" ht="13">
      <c r="H1017" s="226"/>
    </row>
    <row r="1018" spans="8:8" ht="13">
      <c r="H1018" s="226"/>
    </row>
    <row r="1019" spans="8:8" ht="13">
      <c r="H1019" s="226"/>
    </row>
    <row r="1020" spans="8:8" ht="13">
      <c r="H1020" s="226"/>
    </row>
    <row r="1021" spans="8:8" ht="13">
      <c r="H1021" s="226"/>
    </row>
    <row r="1022" spans="8:8" ht="13">
      <c r="H1022" s="226"/>
    </row>
    <row r="1023" spans="8:8" ht="13">
      <c r="H1023" s="226"/>
    </row>
    <row r="1024" spans="8:8" ht="13">
      <c r="H1024" s="226"/>
    </row>
    <row r="1025" spans="8:8" ht="13">
      <c r="H1025" s="226"/>
    </row>
    <row r="1026" spans="8:8" ht="13">
      <c r="H1026" s="226"/>
    </row>
    <row r="1027" spans="8:8" ht="13">
      <c r="H1027" s="226"/>
    </row>
    <row r="1028" spans="8:8" ht="13">
      <c r="H1028" s="226"/>
    </row>
    <row r="1029" spans="8:8" ht="13">
      <c r="H1029" s="226"/>
    </row>
    <row r="1030" spans="8:8" ht="13">
      <c r="H1030" s="226"/>
    </row>
    <row r="1031" spans="8:8" ht="13">
      <c r="H1031" s="226"/>
    </row>
    <row r="1032" spans="8:8" ht="13">
      <c r="H1032" s="226"/>
    </row>
    <row r="1033" spans="8:8" ht="13">
      <c r="H1033" s="226"/>
    </row>
    <row r="1034" spans="8:8" ht="13">
      <c r="H1034" s="226"/>
    </row>
    <row r="1035" spans="8:8" ht="13">
      <c r="H1035" s="226"/>
    </row>
    <row r="1036" spans="8:8" ht="13">
      <c r="H1036" s="226"/>
    </row>
    <row r="1037" spans="8:8" ht="13">
      <c r="H1037" s="226"/>
    </row>
    <row r="1038" spans="8:8" ht="13">
      <c r="H1038" s="226"/>
    </row>
    <row r="1039" spans="8:8" ht="13">
      <c r="H1039" s="226"/>
    </row>
    <row r="1040" spans="8:8" ht="13">
      <c r="H1040" s="226"/>
    </row>
    <row r="1041" spans="8:8" ht="13">
      <c r="H1041" s="226"/>
    </row>
    <row r="1042" spans="8:8" ht="13">
      <c r="H1042" s="226"/>
    </row>
    <row r="1043" spans="8:8" ht="13">
      <c r="H1043" s="226"/>
    </row>
    <row r="1044" spans="8:8" ht="13">
      <c r="H1044" s="226"/>
    </row>
    <row r="1045" spans="8:8" ht="13">
      <c r="H1045" s="226"/>
    </row>
    <row r="1046" spans="8:8" ht="13">
      <c r="H1046" s="226"/>
    </row>
    <row r="1047" spans="8:8" ht="13">
      <c r="H1047" s="226"/>
    </row>
    <row r="1048" spans="8:8" ht="13">
      <c r="H1048" s="226"/>
    </row>
    <row r="1049" spans="8:8" ht="13">
      <c r="H1049" s="226"/>
    </row>
    <row r="1050" spans="8:8" ht="13">
      <c r="H1050" s="226"/>
    </row>
    <row r="1051" spans="8:8" ht="13">
      <c r="H1051" s="226"/>
    </row>
    <row r="1052" spans="8:8" ht="13">
      <c r="H1052" s="226"/>
    </row>
    <row r="1053" spans="8:8" ht="13">
      <c r="H1053" s="226"/>
    </row>
    <row r="1054" spans="8:8" ht="13">
      <c r="H1054" s="226"/>
    </row>
    <row r="1055" spans="8:8" ht="13">
      <c r="H1055" s="226"/>
    </row>
    <row r="1056" spans="8:8" ht="13">
      <c r="H1056" s="226"/>
    </row>
    <row r="1057" spans="8:8" ht="13">
      <c r="H1057" s="226"/>
    </row>
    <row r="1058" spans="8:8" ht="13">
      <c r="H1058" s="226"/>
    </row>
  </sheetData>
  <autoFilter ref="A1:U81" xr:uid="{00000000-0009-0000-0000-000005000000}">
    <filterColumn colId="3">
      <filters blank="1">
        <filter val="f/1.2"/>
        <filter val="f/1.4"/>
        <filter val="f/1.8"/>
        <filter val="f/2.0"/>
        <filter val="f/3.5-6.3"/>
      </filters>
    </filterColumn>
  </autoFilter>
  <conditionalFormatting sqref="B1 B3:B1058">
    <cfRule type="cellIs" dxfId="326" priority="1" operator="between">
      <formula>50</formula>
      <formula>200</formula>
    </cfRule>
  </conditionalFormatting>
  <conditionalFormatting sqref="B1 B3:B1058">
    <cfRule type="cellIs" dxfId="325" priority="2" operator="between">
      <formula>201</formula>
      <formula>400</formula>
    </cfRule>
  </conditionalFormatting>
  <conditionalFormatting sqref="B3:B1053">
    <cfRule type="cellIs" dxfId="324" priority="3" operator="between">
      <formula>401</formula>
      <formula>650</formula>
    </cfRule>
  </conditionalFormatting>
  <conditionalFormatting sqref="B3:B1053">
    <cfRule type="cellIs" dxfId="323" priority="4" operator="between">
      <formula>651</formula>
      <formula>900</formula>
    </cfRule>
  </conditionalFormatting>
  <conditionalFormatting sqref="B3:B1053">
    <cfRule type="cellIs" dxfId="322" priority="5" operator="greaterThan">
      <formula>900</formula>
    </cfRule>
  </conditionalFormatting>
  <conditionalFormatting sqref="P3:P1053">
    <cfRule type="containsText" dxfId="321" priority="6" operator="containsText" text="yes">
      <formula>NOT(ISERROR(SEARCH(("yes"),(P3))))</formula>
    </cfRule>
  </conditionalFormatting>
  <conditionalFormatting sqref="F1:F1058">
    <cfRule type="colorScale" priority="7">
      <colorScale>
        <cfvo type="min"/>
        <cfvo type="formula" val="150"/>
        <color rgb="FFEAD1DC"/>
        <color rgb="FFA64D79"/>
      </colorScale>
    </cfRule>
  </conditionalFormatting>
  <conditionalFormatting sqref="D3:D81">
    <cfRule type="colorScale" priority="8">
      <colorScale>
        <cfvo type="formula" val="1.2"/>
        <cfvo type="formula" val="4"/>
        <color rgb="FF0B5394"/>
        <color rgb="FFFFFFFF"/>
      </colorScale>
    </cfRule>
  </conditionalFormatting>
  <conditionalFormatting sqref="E3:E81">
    <cfRule type="colorScale" priority="9">
      <colorScale>
        <cfvo type="formula" val="65"/>
        <cfvo type="formula" val="100"/>
        <color rgb="FFD9D2E9"/>
        <color rgb="FF674EA7"/>
      </colorScale>
    </cfRule>
  </conditionalFormatting>
  <conditionalFormatting sqref="D3:D81">
    <cfRule type="containsText" dxfId="320" priority="10" operator="containsText" text="1.2">
      <formula>NOT(ISERROR(SEARCH(("1.2"),(D3))))</formula>
    </cfRule>
  </conditionalFormatting>
  <conditionalFormatting sqref="D12">
    <cfRule type="notContainsBlanks" dxfId="319" priority="11">
      <formula>LEN(TRIM(D12))&gt;0</formula>
    </cfRule>
  </conditionalFormatting>
  <conditionalFormatting sqref="D3:D81">
    <cfRule type="containsText" dxfId="318" priority="12" operator="containsText" text="1.4">
      <formula>NOT(ISERROR(SEARCH(("1.4"),(D3))))</formula>
    </cfRule>
  </conditionalFormatting>
  <conditionalFormatting sqref="D3:AA81">
    <cfRule type="containsText" dxfId="317" priority="13" operator="containsText" text="1.8">
      <formula>NOT(ISERROR(SEARCH(("1.8"),(D3))))</formula>
    </cfRule>
  </conditionalFormatting>
  <dataValidations count="1">
    <dataValidation type="list" allowBlank="1" sqref="S3:S81" xr:uid="{00000000-0002-0000-0500-000000000000}">
      <formula1>"Sony,Voigtlander,Zeiss,Sigma,Samyang,Viltrox,Tokina,Tamron"</formula1>
    </dataValidation>
  </dataValidations>
  <hyperlinks>
    <hyperlink ref="K1" r:id="rId1" xr:uid="{00000000-0004-0000-0500-000000000000}"/>
    <hyperlink ref="M1" r:id="rId2" xr:uid="{00000000-0004-0000-0500-000001000000}"/>
    <hyperlink ref="N1" r:id="rId3" xr:uid="{00000000-0004-0000-0500-000002000000}"/>
    <hyperlink ref="R3" r:id="rId4" display="https://amzn.to/2jJ8WxH" xr:uid="{00000000-0004-0000-0500-000003000000}"/>
    <hyperlink ref="S3" r:id="rId5" display="https://www.bhphotovideo.com/c/product/1219550-REG/voigtlander_ba334b_heliar_hyper_wide_10mm_f_5_6.html/BI/19619/KBID/12129/DFF/d10-v21-t1-x732282/SID/EZ" xr:uid="{00000000-0004-0000-0500-000004000000}"/>
    <hyperlink ref="T3" r:id="rId6" display="https://amzn.to/2jG72hr" xr:uid="{00000000-0004-0000-0500-000005000000}"/>
    <hyperlink ref="U3" r:id="rId7" display="http://rover.ebay.com/rover/1/711-53200-19255-0/1?icep_ff3=9&amp;pub=5575076376&amp;toolid=10001&amp;campid=5338573609&amp;customid=&amp;icep_uq=Voigtlander+Sony+10mm+5.6+&amp;icep_sellerId=&amp;icep_ex_kw=&amp;icep_sortBy=12&amp;icep_catId=3323&amp;icep_minPrice=&amp;icep_maxPrice=&amp;ipn=psmain&amp;icep_vectorid=229466&amp;kwid=902099&amp;mtid=824&amp;kw=lg" xr:uid="{00000000-0004-0000-0500-000006000000}"/>
    <hyperlink ref="R4" r:id="rId8" display="https://amzn.to/2SSzKc4" xr:uid="{00000000-0004-0000-0500-000007000000}"/>
    <hyperlink ref="S4" r:id="rId9" display="https://www.bhphotovideo.com/c/product/1338517-REG/sony_sel1224g_fe_12_24mm_f_4_g.html/BI/19619/KBID/12129/DFF/d10-v21-t1-x822838/SID/EZ" xr:uid="{00000000-0004-0000-0500-000008000000}"/>
    <hyperlink ref="T4" r:id="rId10" display="https://amzn.to/2Kg94zb" xr:uid="{00000000-0004-0000-0500-000009000000}"/>
    <hyperlink ref="U4" r:id="rId11" display="http://rover.ebay.com/rover/1/711-53200-19255-0/1?icep_ff3=9&amp;pub=5575076376&amp;toolid=10001&amp;campid=5338573609&amp;customid=&amp;icep_uq=sony+12-24&amp;icep_sellerId=&amp;icep_ex_kw=&amp;icep_sortBy=12&amp;icep_catId=3323&amp;icep_minPrice=&amp;icep_maxPrice=&amp;ipn=psmain&amp;icep_vectorid=229466&amp;kwid=902099&amp;mtid=824&amp;kw=lg" xr:uid="{00000000-0004-0000-0500-00000A000000}"/>
    <hyperlink ref="A5" r:id="rId12" display="https://phillipreeve.net/blog/review-voigtlander-12mm-5-6-aspherical-ultra-wide-heliar/" xr:uid="{00000000-0004-0000-0500-00000B000000}"/>
    <hyperlink ref="U5" r:id="rId13" display="http://rover.ebay.com/rover/1/711-53200-19255-0/1?icep_ff3=9&amp;pub=5575076376&amp;toolid=10001&amp;campid=5338573609&amp;customid=&amp;icep_uq=Voigtlander+Sony+12mm+5.6+&amp;icep_sellerId=&amp;icep_ex_kw=&amp;icep_sortBy=12&amp;icep_catId=3323&amp;icep_minPrice=&amp;icep_maxPrice=&amp;ipn=psmain&amp;icep_vectorid=229466&amp;kwid=902099&amp;mtid=824&amp;kw=lg" xr:uid="{00000000-0004-0000-0500-00000C000000}"/>
    <hyperlink ref="R6" r:id="rId14" display="https://amzn.to/2SOWTvV" xr:uid="{00000000-0004-0000-0500-00000D000000}"/>
    <hyperlink ref="S6" r:id="rId15" display="https://www.bhphotovideo.com/c/product/1393489-REG/sigma_14mm_f_1_8_dg_hsm.html/BI/19619/KBID/12129/DFF/d10-v21-t1-x881154/SID/EZ" xr:uid="{00000000-0004-0000-0500-00000E000000}"/>
    <hyperlink ref="T6" r:id="rId16" display="https://amzn.to/2ZDl4QJ" xr:uid="{00000000-0004-0000-0500-00000F000000}"/>
    <hyperlink ref="U6" r:id="rId17" display="http://rover.ebay.com/rover/1/711-53200-19255-0/1?icep_ff3=9&amp;pub=5575076376&amp;toolid=10001&amp;campid=5338573609&amp;customid=&amp;icep_uq=sigma+14+1.8+sony&amp;icep_sellerId=&amp;icep_ex_kw=&amp;icep_sortBy=12&amp;icep_catId=3323&amp;icep_minPrice=&amp;icep_maxPrice=&amp;ipn=psmain&amp;icep_vectorid=229466&amp;kwid=902099&amp;mtid=824&amp;kw=lg" xr:uid="{00000000-0004-0000-0500-000010000000}"/>
    <hyperlink ref="R7" r:id="rId18" display="https://amzn.to/2zt8rMC" xr:uid="{00000000-0004-0000-0500-000011000000}"/>
    <hyperlink ref="S7" r:id="rId19" display="https://www.bhphotovideo.com/c/product/1492972-REG/sigma_213965_14_24mm_f_2_8_dg_dn.html/BI/19619/KBID/12129/DFF/d10-v21-t1-x976041/SID/EZ" xr:uid="{00000000-0004-0000-0500-000012000000}"/>
    <hyperlink ref="U7" r:id="rId20" display="http://rover.ebay.com/rover/1/711-53200-19255-0/1?icep_ff3=9&amp;pub=5575076376&amp;toolid=10001&amp;campid=5338573609&amp;customid=&amp;icep_uq=sigma+14-24+2.8+sony&amp;icep_sellerId=&amp;icep_ex_kw=&amp;icep_sortBy=12&amp;icep_catId=3323&amp;icep_minPrice=&amp;icep_maxPrice=&amp;ipn=psmain&amp;icep_vectorid=229466&amp;kwid=902099&amp;mtid=824&amp;kw=lg" xr:uid="{00000000-0004-0000-0500-000013000000}"/>
    <hyperlink ref="R8" r:id="rId21" display="https://amzn.to/2SX2HUi" xr:uid="{00000000-0004-0000-0500-000014000000}"/>
    <hyperlink ref="S8" r:id="rId22" display="https://www.bhphotovideo.com/c/product/1352863-REG/samyang_syio14af_e_14mm_f_2_8_f_f_wide.html/BI/19619/KBID/12129/DFF/d10-v21-t1-x837928/SID/EZ" xr:uid="{00000000-0004-0000-0500-000015000000}"/>
    <hyperlink ref="T8" r:id="rId23" display="https://amzn.to/31hwSIL" xr:uid="{00000000-0004-0000-0500-000016000000}"/>
    <hyperlink ref="U8" r:id="rId24" display="http://rover.ebay.com/rover/1/711-53200-19255-0/1?icep_ff3=9&amp;pub=5575076376&amp;toolid=10001&amp;campid=5338573609&amp;customid=&amp;icep_uq=samyang+af+14+2.8+sony&amp;icep_sellerId=&amp;icep_ex_kw=&amp;icep_sortBy=12&amp;icep_catId=3323&amp;icep_minPrice=&amp;icep_maxPrice=&amp;ipn=psmain&amp;icep_vectorid=229466&amp;kwid=902099&amp;mtid=824&amp;kw=lg" xr:uid="{00000000-0004-0000-0500-000017000000}"/>
    <hyperlink ref="A9" r:id="rId25" display="https://phillipreeve.net/blog/review-voigtlander-15mm-4-5-e-super-wide-heliar/" xr:uid="{00000000-0004-0000-0500-000018000000}"/>
    <hyperlink ref="R9" r:id="rId26" display="https://amzn.to/2YwplrQ" xr:uid="{00000000-0004-0000-0500-000019000000}"/>
    <hyperlink ref="S9" r:id="rId27" display="https://www.bhphotovideo.com/c/product/1219549-REG/voigtlander_ba329b_super_wide_heliar_15mm_f_4_5.html/BI/19619/KBID/12129/DFF/d10-v21-t1-x618202/SID/EZ" xr:uid="{00000000-0004-0000-0500-00001A000000}"/>
    <hyperlink ref="T9" r:id="rId28" display="https://amzn.to/2ZpTKt5" xr:uid="{00000000-0004-0000-0500-00001B000000}"/>
    <hyperlink ref="U9" r:id="rId29" display="http://rover.ebay.com/rover/1/711-53200-19255-0/1?icep_ff3=9&amp;pub=5575076376&amp;toolid=10001&amp;campid=5338573609&amp;customid=&amp;icep_uq=Voigtlander+Sony+15mm+4.5&amp;icep_sellerId=&amp;icep_ex_kw=&amp;icep_sortBy=12&amp;icep_catId=3323&amp;icep_minPrice=&amp;icep_maxPrice=&amp;ipn=psmain&amp;icep_vectorid=229466&amp;kwid=902099&amp;mtid=824&amp;kw=lg" xr:uid="{00000000-0004-0000-0500-00001C000000}"/>
    <hyperlink ref="A10" r:id="rId30" display="https://phillipreeve.net/blog/sony-fe-16-35mm-f4-za-t-review/" xr:uid="{00000000-0004-0000-0500-00001D000000}"/>
    <hyperlink ref="R10" r:id="rId31" display="http://amzn.to/2v2sY7q" xr:uid="{00000000-0004-0000-0500-00001E000000}"/>
    <hyperlink ref="S10" r:id="rId32" display="https://www.bhphotovideo.com/c/product/1380866-REG/sony_16_35mm_f_4_vario_tsr.html/BI/19619/KBID/12129/kw/SO16354F/DFF/d10-v2-t1-xSO16354F" xr:uid="{00000000-0004-0000-0500-00001F000000}"/>
    <hyperlink ref="T10" r:id="rId33" display="http://amzn.to/2wyMLuP" xr:uid="{00000000-0004-0000-0500-000020000000}"/>
    <hyperlink ref="U10" r:id="rId34" display="http://rover.ebay.com/rover/1/711-53200-19255-0/1?icep_ff3=10&amp;pub=5575076376&amp;toolid=10001&amp;campid=5338164340&amp;customid=&amp;icep_uq=sony+16-35+za+oss&amp;icep_sellerId=&amp;icep_ex_kw=&amp;icep_sortBy=12&amp;icep_catId=&amp;icep_minPrice=&amp;icep_maxPrice=&amp;ipn=psmain&amp;icep_vectorid=229466&amp;kwid=902099&amp;mtid=824&amp;kw=lg" xr:uid="{00000000-0004-0000-0500-000021000000}"/>
    <hyperlink ref="R11" r:id="rId35" display="https://amzn.to/2SR0IRl" xr:uid="{00000000-0004-0000-0500-000022000000}"/>
    <hyperlink ref="S11" r:id="rId36" display="https://www.bhphotovideo.com/c/product/1338516-REG/sony_sel1635gm_fe_16_35mm_f_2_8_gm.html/BI/19619/KBID/12129/DFF/d10-v21-t1-x822837/SID/EZ" xr:uid="{00000000-0004-0000-0500-000023000000}"/>
    <hyperlink ref="T11" r:id="rId37" display="https://amzn.to/2T1ZxOU" xr:uid="{00000000-0004-0000-0500-000024000000}"/>
    <hyperlink ref="U11" r:id="rId38" display="http://rover.ebay.com/rover/1/711-53200-19255-0/1?icep_ff3=9&amp;pub=5575076376&amp;toolid=10001&amp;campid=5338573609&amp;customid=&amp;icep_uq=sony+gm+16-35&amp;icep_sellerId=&amp;icep_ex_kw=&amp;icep_sortBy=12&amp;icep_catId=3323&amp;icep_minPrice=&amp;icep_maxPrice=&amp;ipn=psmain&amp;icep_vectorid=229466&amp;kwid=902099&amp;mtid=824&amp;kw=lg" xr:uid="{00000000-0004-0000-0500-000025000000}"/>
    <hyperlink ref="A12" r:id="rId39" display="https://phillipreeve.net/blog/review-tamron-17-28mm-f-2-8-di-iii-rxd/" xr:uid="{00000000-0004-0000-0500-000026000000}"/>
    <hyperlink ref="R12" r:id="rId40" display="https://amzn.to/2Hv3AyB" xr:uid="{00000000-0004-0000-0500-000027000000}"/>
    <hyperlink ref="S12" r:id="rId41" display="https://www.bhphotovideo.com/c/product/1461529-REG/tamron_a046_17_28mm_f_2_8_di_iii.html/BI/19619/KBID/12129/DFF/d10-v21-t1-x946694/SID/EZ" xr:uid="{00000000-0004-0000-0500-000028000000}"/>
    <hyperlink ref="T12" r:id="rId42" display="https://amzn.to/2YkrkQB" xr:uid="{00000000-0004-0000-0500-000029000000}"/>
    <hyperlink ref="U12" r:id="rId43" display="http://rover.ebay.com/rover/1/711-53200-19255-0/1?icep_ff3=9&amp;pub=5575076376&amp;toolid=10001&amp;campid=5338573609&amp;customid=&amp;icep_uq=tamron+17-28+sony&amp;icep_sellerId=&amp;icep_ex_kw=&amp;icep_sortBy=12&amp;icep_catId=3323&amp;icep_minPrice=&amp;icep_maxPrice=&amp;ipn=psmain&amp;icep_vectorid=229466&amp;kwid=902099&amp;mtid=824&amp;kw=lg" xr:uid="{00000000-0004-0000-0500-00002A000000}"/>
    <hyperlink ref="A13" r:id="rId44" display="https://phillipreeve.net/blog/review-zeiss-batis-18mm-2-8/" xr:uid="{00000000-0004-0000-0500-00002B000000}"/>
    <hyperlink ref="R13" r:id="rId45" display="https://amzn.to/2SRFBhL" xr:uid="{00000000-0004-0000-0500-00002C000000}"/>
    <hyperlink ref="S13" r:id="rId46" display="https://www.bhphotovideo.com/c/product/1243591-REG/zeiss_2136_691_batis_18mm_f_2_8_lens.html/BI/19619/KBID/12129/DFF/d10-v21-t1-x727488/SID/EZ" xr:uid="{00000000-0004-0000-0500-00002D000000}"/>
    <hyperlink ref="T13" r:id="rId47" display="https://amzn.to/334PqNT" xr:uid="{00000000-0004-0000-0500-00002E000000}"/>
    <hyperlink ref="U13" r:id="rId48" display="http://rover.ebay.com/rover/1/711-53200-19255-0/1?icep_ff3=9&amp;pub=5575076376&amp;toolid=10001&amp;campid=5338573609&amp;customid=&amp;icep_uq=batis+18+2.8&amp;icep_sellerId=&amp;icep_ex_kw=&amp;icep_sortBy=12&amp;icep_catId=3323&amp;icep_minPrice=&amp;icep_maxPrice=&amp;ipn=psmain&amp;icep_vectorid=229466&amp;kwid=902099&amp;mtid=824&amp;kw=lg" xr:uid="{00000000-0004-0000-0500-00002F000000}"/>
    <hyperlink ref="S14" r:id="rId49" display="https://www.bhphotovideo.com/c/product/1503295-REG/samyang_syio18af_e_af_18mm_f_2_8_fe.html/BI/19619/KBID/12129/DFF/d10-v21-t1-x985623/SID/EZ" xr:uid="{00000000-0004-0000-0500-000030000000}"/>
    <hyperlink ref="R15" r:id="rId50" display="https://amzn.to/2K4J7nh" xr:uid="{00000000-0004-0000-0500-000031000000}"/>
    <hyperlink ref="S15" r:id="rId51" display="https://www.bhphotovideo.com/c/product/1393490-REG/sigma_20mm_f_1_4_dg_hsm.html/BI/19619/KBID/12129/DFF/d10-v21-t1-x881155/SID/EZ" xr:uid="{00000000-0004-0000-0500-000032000000}"/>
    <hyperlink ref="T15" r:id="rId52" display="https://amzn.to/2Wy0d3F" xr:uid="{00000000-0004-0000-0500-000033000000}"/>
    <hyperlink ref="U15" r:id="rId53" display="http://rover.ebay.com/rover/1/711-53200-19255-0/1?icep_ff3=9&amp;pub=5575076376&amp;toolid=10001&amp;campid=5338573609&amp;customid=&amp;icep_uq=sigma+art+20+1.4+sony&amp;icep_sellerId=&amp;icep_ex_kw=&amp;icep_sortBy=12&amp;icep_catId=3323&amp;icep_minPrice=&amp;icep_maxPrice=&amp;ipn=psmain&amp;icep_vectorid=229466&amp;kwid=902099&amp;mtid=824&amp;kw=lg" xr:uid="{00000000-0004-0000-0500-000034000000}"/>
    <hyperlink ref="R16" r:id="rId54" display="https://amzn.to/2LRRbJ5" xr:uid="{00000000-0004-0000-0500-000035000000}"/>
    <hyperlink ref="S16" r:id="rId55" display="https://www.bhphotovideo.com/c/product/1469187-REG/viltrox_pfu_rbmh_20mm_f1_8_asph_e_mount_20mm_f_1_8_for_sony.html/BI/19619/KBID/12129/DFF/d10-v21-t1-x954299/SID/EZ" xr:uid="{00000000-0004-0000-0500-000036000000}"/>
    <hyperlink ref="T16" r:id="rId56" display="https://amzn.to/2GL8iYV" xr:uid="{00000000-0004-0000-0500-000037000000}"/>
    <hyperlink ref="U16" r:id="rId57" display="http://rover.ebay.com/rover/1/711-53200-19255-0/1?icep_ff3=9&amp;pub=5575076376&amp;toolid=10001&amp;campid=5338573609&amp;customid=&amp;icep_uq=viltrox+20+1.8+sony&amp;icep_sellerId=&amp;icep_ex_kw=&amp;icep_sortBy=12&amp;icep_catId=3323&amp;icep_minPrice=&amp;icep_maxPrice=&amp;ipn=psmain&amp;icep_vectorid=229466&amp;kwid=902099&amp;mtid=824&amp;kw=lg" xr:uid="{00000000-0004-0000-0500-000038000000}"/>
    <hyperlink ref="R17" r:id="rId58" display="https://amzn.to/2wBkbOW" xr:uid="{00000000-0004-0000-0500-000039000000}"/>
    <hyperlink ref="S17" r:id="rId59" display="https://www.bhphotovideo.com/c/product/1549627-REG/sony_sel20f18g_fe_20mm_f_1_8_g.html/BI/19619/KBID/12129/DFF/d10-v21-t1-x1029561/SID/EZ" xr:uid="{00000000-0004-0000-0500-00003A000000}"/>
    <hyperlink ref="A18" r:id="rId60" display="https://phillipreeve.net/blog/tokina-firin-20mm-f2-fe-review-a-good-deal/" xr:uid="{00000000-0004-0000-0500-00003B000000}"/>
    <hyperlink ref="R18" r:id="rId61" display="http://amzn.to/2vlG2Yq" xr:uid="{00000000-0004-0000-0500-00003C000000}"/>
    <hyperlink ref="S18" r:id="rId62" display="https://www.bhphotovideo.com/c/product/1281299-REG/tokina_firin_20mm_f_2_fe.html/BI/19619/KBID/12129/kw/TO202E/DFF/d10-v2-t1-xTO202E" xr:uid="{00000000-0004-0000-0500-00003D000000}"/>
    <hyperlink ref="T18" r:id="rId63" display="http://amzn.to/2vvtDkM" xr:uid="{00000000-0004-0000-0500-00003E000000}"/>
    <hyperlink ref="U18" r:id="rId64" display="http://rover.ebay.com/rover/1/711-53200-19255-0/1?icep_ff3=10&amp;pub=5575076376&amp;toolid=10001&amp;campid=5338164340&amp;customid=&amp;icep_uq=tokina+firin+20&amp;icep_sellerId=&amp;icep_ex_kw=&amp;icep_sortBy=12&amp;icep_catId=&amp;icep_minPrice=&amp;icep_maxPrice=&amp;ipn=psmain&amp;icep_vectorid=229466&amp;kwid=902099&amp;mtid=824&amp;kw=lg" xr:uid="{00000000-0004-0000-0500-00003F000000}"/>
    <hyperlink ref="R19" r:id="rId65" display="https://amzn.to/2GDurZb" xr:uid="{00000000-0004-0000-0500-000040000000}"/>
    <hyperlink ref="S19" r:id="rId66" display="https://www.bhphotovideo.com/c/product/1393327-REG/tokina_firin_20mm_f_2_fe.html/BI/19619/KBID/12129/DFF/d10-v21-t1-x880327/SID/EZ" xr:uid="{00000000-0004-0000-0500-000041000000}"/>
    <hyperlink ref="T19" r:id="rId67" display="https://amzn.to/2GJYCxw" xr:uid="{00000000-0004-0000-0500-000042000000}"/>
    <hyperlink ref="U19" r:id="rId68" display="http://rover.ebay.com/rover/1/711-53200-19255-0/1?icep_ff3=9&amp;pub=5575076376&amp;toolid=10001&amp;campid=5338573609&amp;customid=&amp;icep_uq=tokina+firin+20mm+af&amp;icep_sellerId=&amp;icep_ex_kw=&amp;icep_sortBy=12&amp;icep_catId=3323&amp;icep_minPrice=&amp;icep_maxPrice=&amp;ipn=psmain&amp;icep_vectorid=229466&amp;kwid=902099&amp;mtid=824&amp;kw=lg" xr:uid="{00000000-0004-0000-0500-000043000000}"/>
    <hyperlink ref="S20" r:id="rId69" display="https://www.bhphotovideo.com/c/product/1512041-REG/tamron_f050_20mm_f_2_8_di_iii.html/BI/19619/KBID/12129/DFF/d10-v21-t1-x994970/SID/EZ" xr:uid="{00000000-0004-0000-0500-000044000000}"/>
    <hyperlink ref="U20" r:id="rId70" display="http://rover.ebay.com/rover/1/711-53200-19255-0/1?icep_ff3=9&amp;pub=5575076376&amp;toolid=10001&amp;campid=5338573609&amp;customid=&amp;icep_uq=tamron+20+2.8+osd+&amp;icep_sellerId=&amp;icep_ex_kw=&amp;icep_sortBy=12&amp;icep_catId=3323&amp;icep_minPrice=&amp;icep_maxPrice=&amp;ipn=psmain&amp;icep_vectorid=229466&amp;kwid=902099&amp;mtid=824&amp;kw=lg" xr:uid="{00000000-0004-0000-0500-000045000000}"/>
    <hyperlink ref="A21" r:id="rId71" display="https://phillipreeve.net/blog/review_voigtlander_21mm_f14_e/" xr:uid="{00000000-0004-0000-0500-000046000000}"/>
    <hyperlink ref="R21" r:id="rId72" display="https://amzn.to/2K7gHrC" xr:uid="{00000000-0004-0000-0500-000047000000}"/>
    <hyperlink ref="S21" r:id="rId73" display="https://www.bhphotovideo.com/c/product/1480269-REG/voigtlander_ba352a_nokton_21mm_f_1_4_aspherical.html/BI/19619/KBID/12129/DFF/d10-v21-t1-x963269/SID/EZ" xr:uid="{00000000-0004-0000-0500-000048000000}"/>
    <hyperlink ref="U21" r:id="rId74" display="http://rover.ebay.com/rover/1/711-53200-19255-0/1?icep_ff3=9&amp;pub=5575076376&amp;toolid=10001&amp;campid=5338573609&amp;customid=&amp;icep_uq=Voigtlander+Sony+21mm+1.4&amp;icep_sellerId=&amp;icep_ex_kw=&amp;icep_sortBy=12&amp;icep_catId=3323&amp;icep_minPrice=&amp;icep_maxPrice=&amp;ipn=psmain&amp;icep_vectorid=229466&amp;kwid=902099&amp;mtid=824&amp;kw=lg" xr:uid="{00000000-0004-0000-0500-000049000000}"/>
    <hyperlink ref="A22" r:id="rId75" display="https://phillipreeve.net/blog/rolling-review-zeiss-loxia-distagon-2-821mm-t/https:/phillipreeve.net/blog/rolling-review-zeiss-loxia-distagon-2-821mm-t/" xr:uid="{00000000-0004-0000-0500-00004A000000}"/>
    <hyperlink ref="R22" r:id="rId76" display="https://amzn.to/2yspzBm" xr:uid="{00000000-0004-0000-0500-00004B000000}"/>
    <hyperlink ref="S22" r:id="rId77" display="https://www.bhphotovideo.com/c/product/1189220-REG/zeiss_2131_999_loxia_21mm_f_2_8_lens.html/BI/19619/KBID/12129/DFF/d10-v21-t1-x677077/SID/EZ" xr:uid="{00000000-0004-0000-0500-00004C000000}"/>
    <hyperlink ref="T22" r:id="rId78" display="https://amzn.to/2GHSOoA" xr:uid="{00000000-0004-0000-0500-00004D000000}"/>
    <hyperlink ref="U22" r:id="rId79" display="http://rover.ebay.com/rover/1/711-53200-19255-0/1?icep_ff3=9&amp;pub=5575076376&amp;toolid=10001&amp;campid=5338573609&amp;customid=&amp;icep_uq=Loxia+21mm&amp;icep_sellerId=&amp;icep_ex_kw=&amp;icep_sortBy=12&amp;icep_catId=3323&amp;icep_minPrice=&amp;icep_maxPrice=&amp;ipn=psmain&amp;icep_vectorid=229466&amp;kwid=902099&amp;mtid=824&amp;kw=lg" xr:uid="{00000000-0004-0000-0500-00004E000000}"/>
    <hyperlink ref="A23" r:id="rId80" display="https://phillipreeve.net/blog/voigtlander-21mm-f35-review/" xr:uid="{00000000-0004-0000-0500-00004F000000}"/>
    <hyperlink ref="R23" r:id="rId81" display="https://amzn.to/2JCie75" xr:uid="{00000000-0004-0000-0500-000050000000}"/>
    <hyperlink ref="S23" r:id="rId82" display="https://www.bhphotovideo.com/c/product/1437613-REG/voigtlander_color_skopar_21mm_f_3_5_aspherical.html/BI/19619/KBID/12129/kw/VO2135E/DFF/d10-v2-t1-xVO2135E" xr:uid="{00000000-0004-0000-0500-000051000000}"/>
    <hyperlink ref="T23" r:id="rId83" display="https://amzn.to/2ZoERan" xr:uid="{00000000-0004-0000-0500-000052000000}"/>
    <hyperlink ref="U23" r:id="rId84" display="http://rover.ebay.com/rover/1/707-53477-19255-0/1?icep_ff3=9&amp;pub=5575076376&amp;toolid=10001&amp;campid=5338423810&amp;customid=&amp;icep_uq=voigtlander+21mm+3.5&amp;icep_sellerId=&amp;icep_ex_kw=&amp;icep_sortBy=12&amp;icep_catId=3323&amp;icep_minPrice=&amp;icep_maxPrice=&amp;ipn=psmain&amp;icep_vectorid=229487&amp;kwid=902099&amp;mtid=824&amp;kw=lg" xr:uid="{00000000-0004-0000-0500-000053000000}"/>
    <hyperlink ref="A24" r:id="rId85" display="https://phillipreeve.net/blog/review-sony-fe-24mm-1-4-gm/" xr:uid="{00000000-0004-0000-0500-000054000000}"/>
    <hyperlink ref="R24" r:id="rId86" display="https://amzn.to/2ywcbw1" xr:uid="{00000000-0004-0000-0500-000055000000}"/>
    <hyperlink ref="S24" r:id="rId87" display="https://www.bhphotovideo.com/c/product/1435887-REG/sony_fe_24mm_f_1_4_gm.html/BI/19619/KBID/12129/DFF/d10-v21-t1-x915647/SID/EZ" xr:uid="{00000000-0004-0000-0500-000056000000}"/>
    <hyperlink ref="T24" r:id="rId88" display="https://amzn.to/2L2tV9y" xr:uid="{00000000-0004-0000-0500-000057000000}"/>
    <hyperlink ref="U24" r:id="rId89" display="http://rover.ebay.com/rover/1/711-53200-19255-0/1?icep_ff3=9&amp;pub=5575076376&amp;toolid=10001&amp;campid=5338573609&amp;customid=&amp;icep_uq=sony+gm+24mm&amp;icep_sellerId=&amp;icep_ex_kw=&amp;icep_sortBy=12&amp;icep_catId=3323&amp;icep_minPrice=&amp;icep_maxPrice=&amp;ipn=psmain&amp;icep_vectorid=229466&amp;kwid=902099&amp;mtid=824&amp;kw=lg" xr:uid="{00000000-0004-0000-0500-000058000000}"/>
    <hyperlink ref="R25" r:id="rId90" display="https://amzn.to/2Isw2Rv" xr:uid="{00000000-0004-0000-0500-000059000000}"/>
    <hyperlink ref="S25" r:id="rId91" display="https://www.bhphotovideo.com/c/product/1393491-REG/sigma_24mm_f_1_4_dg_hsm.html/BI/19619/KBID/12129/kw/SI2414SO/DFF/d10-v2-t1-xSI2414SO" xr:uid="{00000000-0004-0000-0500-00005A000000}"/>
    <hyperlink ref="T25" r:id="rId92" display="https://amzn.to/2K7sIP4" xr:uid="{00000000-0004-0000-0500-00005B000000}"/>
    <hyperlink ref="U25" r:id="rId93" display="http://rover.ebay.com/rover/1/711-53200-19255-0/1?icep_ff3=9&amp;pub=5575076376&amp;toolid=10001&amp;campid=5338573609&amp;customid=&amp;icep_uq=sigma+art+24mm+e-mount&amp;icep_sellerId=&amp;icep_ex_kw=&amp;icep_sortBy=12&amp;icep_catId=3323&amp;icep_minPrice=&amp;icep_maxPrice=&amp;ipn=psmain&amp;icep_vectorid=229466&amp;kwid=902099&amp;mtid=824&amp;kw=lg" xr:uid="{00000000-0004-0000-0500-00005C000000}"/>
    <hyperlink ref="A26" r:id="rId94" display="https://phillipreeve.net/blog/review-samyang-af-2-4-28-fe-at-least-its-small/" xr:uid="{00000000-0004-0000-0500-00005D000000}"/>
    <hyperlink ref="R26" r:id="rId95" display="https://amzn.to/2NEHZ7c" xr:uid="{00000000-0004-0000-0500-00005E000000}"/>
    <hyperlink ref="S26" r:id="rId96" display="https://www.bhphotovideo.com/c/product/1413350-REG/samyang_syio24af_e_af_24mm_f_2_8_fe.html/BI/19619/KBID/12129/kw/SASYIO24AFE/DFF/d10-v2-t1-xSASYIO24AFE" xr:uid="{00000000-0004-0000-0500-00005F000000}"/>
    <hyperlink ref="T26" r:id="rId97" display="https://amzn.to/2Onv1QE" xr:uid="{00000000-0004-0000-0500-000060000000}"/>
    <hyperlink ref="U26" r:id="rId98" display="http://rover.ebay.com/rover/1/711-53200-19255-0/1?icep_ff3=9&amp;pub=5575076376&amp;toolid=10001&amp;campid=5338573609&amp;customid=&amp;icep_uq=samyang+af+24mm+2.8+sony&amp;icep_sellerId=&amp;icep_ex_kw=&amp;icep_sortBy=12&amp;icep_catId=3323&amp;icep_minPrice=&amp;icep_maxPrice=&amp;ipn=psmain&amp;icep_vectorid=229466&amp;kwid=902099&amp;mtid=824&amp;kw=lg" xr:uid="{00000000-0004-0000-0500-000061000000}"/>
    <hyperlink ref="A27" r:id="rId99" display="https://phillipreeve.net/blog/review-tamron-24mm-f-2-8-di-iii-osd-m12/" xr:uid="{00000000-0004-0000-0500-000062000000}"/>
    <hyperlink ref="R27" r:id="rId100" display="https://amzn.to/34hgYPr" xr:uid="{00000000-0004-0000-0500-000063000000}"/>
    <hyperlink ref="S27" r:id="rId101" display="https://www.bhphotovideo.com/c/product/1512042-REG/tamron_f051_24mm_f_2_8_di_iii.html/BI/19619/KBID/12129/DFF/d10-v21-t1-x994971/SID/EZ" xr:uid="{00000000-0004-0000-0500-000064000000}"/>
    <hyperlink ref="T27" r:id="rId102" display="https://amzn.to/38yg1G1" xr:uid="{00000000-0004-0000-0500-000065000000}"/>
    <hyperlink ref="U27" r:id="rId103" display="http://rover.ebay.com/rover/1/711-53200-19255-0/1?icep_ff3=9&amp;pub=5575076376&amp;toolid=10001&amp;campid=5338573609&amp;customid=&amp;icep_uq=tamron+24+2.8+osd+&amp;icep_sellerId=&amp;icep_ex_kw=&amp;icep_sortBy=12&amp;icep_catId=3323&amp;icep_minPrice=&amp;icep_maxPrice=&amp;ipn=psmain&amp;icep_vectorid=229466&amp;kwid=902099&amp;mtid=824&amp;kw=lg" xr:uid="{00000000-0004-0000-0500-000066000000}"/>
    <hyperlink ref="A28" r:id="rId104" display="https://phillipreeve.net/blog/review-sony-fe-2-824-70mm-gm/" xr:uid="{00000000-0004-0000-0500-000067000000}"/>
    <hyperlink ref="R28" r:id="rId105" display="https://amzn.to/2STHavK" xr:uid="{00000000-0004-0000-0500-000068000000}"/>
    <hyperlink ref="S28" r:id="rId106" display="https://www.bhphotovideo.com/c/search?Ntt=gm%2024-70&amp;N=0&amp;InitialSearch=yes&amp;sts=ma&amp;Top+Nav-Search=&amp;BI=19619&amp;KBID=12129&amp;KWID=EZ" xr:uid="{00000000-0004-0000-0500-000069000000}"/>
    <hyperlink ref="T28" r:id="rId107" display="https://amzn.to/2ZwoyU7" xr:uid="{00000000-0004-0000-0500-00006A000000}"/>
    <hyperlink ref="U28" r:id="rId108" display="http://rover.ebay.com/rover/1/711-53200-19255-0/1?icep_ff3=9&amp;pub=5575076376&amp;toolid=10001&amp;campid=5338573609&amp;customid=&amp;icep_uq=sony+gm+24-70+2.8&amp;icep_sellerId=&amp;icep_ex_kw=&amp;icep_sortBy=12&amp;icep_catId=3323&amp;icep_minPrice=&amp;icep_maxPrice=&amp;ipn=psmain&amp;icep_vectorid=229466&amp;kwid=902099&amp;mtid=824&amp;kw=lg" xr:uid="{00000000-0004-0000-0500-00006B000000}"/>
    <hyperlink ref="R29" r:id="rId109" display="https://amzn.to/2YPjpb1" xr:uid="{00000000-0004-0000-0500-00006C000000}"/>
    <hyperlink ref="S29" r:id="rId110" display="https://www.bhphotovideo.com/c/product/1516303-REG/sigma_24_70mm_f_2_8_dg_dn.html/BI/19619/KBID/12129/DFF/d10-v21-t1-x999330/SID/EZ" xr:uid="{00000000-0004-0000-0500-00006D000000}"/>
    <hyperlink ref="R30" r:id="rId111" display="http://amzn.to/2fbX5FU" xr:uid="{00000000-0004-0000-0500-00006E000000}"/>
    <hyperlink ref="S30" r:id="rId112" display="https://www.bhphotovideo.com/c/search?Ntt=sony%2024-240&amp;N=0&amp;InitialSearch=yes&amp;sts=ma&amp;Top+Nav-Search=&amp;BI=19619&amp;KBID=12129&amp;KWID=EZ" xr:uid="{00000000-0004-0000-0500-00006F000000}"/>
    <hyperlink ref="T30" r:id="rId113" display="http://amzn.to/2wyrL7A" xr:uid="{00000000-0004-0000-0500-000070000000}"/>
    <hyperlink ref="U30" r:id="rId114" display="http://rover.ebay.com/rover/1/711-53200-19255-0/1?icep_ff3=10&amp;pub=5575076376&amp;toolid=10001&amp;campid=5338164340&amp;customid=&amp;icep_uq=sony+24-240&amp;icep_sellerId=&amp;icep_ex_kw=&amp;icep_sortBy=12&amp;icep_catId=&amp;icep_minPrice=&amp;icep_maxPrice=&amp;ipn=psmain&amp;icep_vectorid=229466&amp;kwid=902099&amp;mtid=824&amp;kw=lg" xr:uid="{00000000-0004-0000-0500-000071000000}"/>
    <hyperlink ref="R31" r:id="rId115" display="https://amzn.to/2K7LwMR" xr:uid="{00000000-0004-0000-0500-000072000000}"/>
    <hyperlink ref="S31" r:id="rId116" display="https://www.bhphotovideo.com/c/search?Ntt=sony%2024-105&amp;N=0&amp;InitialSearch=yes&amp;sts=ma&amp;Top+Nav-Search=&amp;BI=19619&amp;KBID=12129&amp;KWID=EZ" xr:uid="{00000000-0004-0000-0500-000073000000}"/>
    <hyperlink ref="T31" r:id="rId117" display="https://amzn.to/2Ld8hOS" xr:uid="{00000000-0004-0000-0500-000074000000}"/>
    <hyperlink ref="U31" r:id="rId118" display="http://rover.ebay.com/rover/1/711-53200-19255-0/1?icep_ff3=9&amp;pub=5575076376&amp;toolid=10001&amp;campid=5338573609&amp;customid=&amp;icep_uq=sony+g+24-105&amp;icep_sellerId=&amp;icep_ex_kw=&amp;icep_sortBy=12&amp;icep_catId=3323&amp;icep_minPrice=&amp;icep_maxPrice=&amp;ipn=psmain&amp;icep_vectorid=229466&amp;kwid=902099&amp;mtid=824&amp;kw=lg" xr:uid="{00000000-0004-0000-0500-000075000000}"/>
    <hyperlink ref="A32" r:id="rId119" display="https://phillipreeve.net/blog/rolling-review-carl-zeiss-vario-tessar-t-fe-424-70-za/" xr:uid="{00000000-0004-0000-0500-000076000000}"/>
    <hyperlink ref="R32" r:id="rId120" display="http://amzn.to/2vlG2Yq" xr:uid="{00000000-0004-0000-0500-000077000000}"/>
    <hyperlink ref="S32" r:id="rId121" display="https://www.bhphotovideo.com/c/product/1008126-REG/sony_sel2470z_vario_tessar_t_fe_24_70mm.html/BI/19619/KBID/12129/DFF/d10-v21-t1-x466842/SID/EZ" xr:uid="{00000000-0004-0000-0500-000078000000}"/>
    <hyperlink ref="T32" r:id="rId122" display="http://amzn.to/2fl1XZk" xr:uid="{00000000-0004-0000-0500-000079000000}"/>
    <hyperlink ref="U32" r:id="rId123" display="http://rover.ebay.com/rover/1/711-53200-19255-0/1?icep_ff3=10&amp;pub=5575076376&amp;toolid=10001&amp;campid=5338164340&amp;customid=&amp;icep_uq=sony+24-70+za&amp;icep_sellerId=&amp;icep_ex_kw=&amp;icep_sortBy=12&amp;icep_catId=&amp;icep_minPrice=&amp;icep_maxPrice=&amp;ipn=psmain&amp;icep_vectorid=229466&amp;kwid=902099&amp;mtid=824&amp;kw=lg" xr:uid="{00000000-0004-0000-0500-00007A000000}"/>
    <hyperlink ref="A33" r:id="rId124" display="https://phillipreeve.net/blog/review-zeiss-batis-distagon-t-25mm-f2/" xr:uid="{00000000-0004-0000-0500-00007B000000}"/>
    <hyperlink ref="R33" r:id="rId125" display="https://amzn.to/2ypHQiT" xr:uid="{00000000-0004-0000-0500-00007C000000}"/>
    <hyperlink ref="S33" r:id="rId126" display="https://www.bhphotovideo.com/c/product/1140832-REG/zeiss_2103_750_25mm_f_2_0_batis_wide.html/BI/19619/KBID/12129/DFF/d10-v21-t1-x627141/SID/EZ" xr:uid="{00000000-0004-0000-0500-00007D000000}"/>
    <hyperlink ref="T33" r:id="rId127" display="https://amzn.to/2L20DIj" xr:uid="{00000000-0004-0000-0500-00007E000000}"/>
    <hyperlink ref="U33" r:id="rId128" display="http://rover.ebay.com/rover/1/711-53200-19255-0/1?icep_ff3=9&amp;pub=5575076376&amp;toolid=10001&amp;campid=5338573609&amp;customid=&amp;icep_uq=Zeiss+batis+25mm&amp;icep_sellerId=&amp;icep_ex_kw=&amp;icep_sortBy=12&amp;icep_catId=3323&amp;icep_minPrice=&amp;icep_maxPrice=&amp;ipn=psmain&amp;icep_vectorid=229466&amp;kwid=902099&amp;mtid=824&amp;kw=lg" xr:uid="{00000000-0004-0000-0500-00007F000000}"/>
    <hyperlink ref="A34" r:id="rId129" display="https://phillipreeve.net/blog/review-zeiss-loxia-2-4-25mm-distagon/" xr:uid="{00000000-0004-0000-0500-000080000000}"/>
    <hyperlink ref="R34" r:id="rId130" display="https://amzn.to/2OlyeAf" xr:uid="{00000000-0004-0000-0500-000081000000}"/>
    <hyperlink ref="S34" r:id="rId131" display="https://www.bhphotovideo.com/c/product/1389169-REG/zeiss_000000_2218_783_loxia_25mm_f_2_4_lens.html/BI/19619/KBID/12129/kw/ZE2524L/DFF/d10-v2-t1-xZE2524L" xr:uid="{00000000-0004-0000-0500-000082000000}"/>
    <hyperlink ref="T34" r:id="rId132" display="https://amzn.to/2OlyeAf" xr:uid="{00000000-0004-0000-0500-000083000000}"/>
    <hyperlink ref="U34" r:id="rId133" display="http://rover.ebay.com/rover/1/711-53200-19255-0/1?icep_ff3=9&amp;pub=5575076376&amp;toolid=10001&amp;campid=5338573609&amp;customid=&amp;icep_uq=Zeiss+loxia+25mm&amp;icep_sellerId=&amp;icep_ex_kw=&amp;icep_sortBy=12&amp;icep_catId=3323&amp;icep_minPrice=&amp;icep_maxPrice=&amp;ipn=psmain&amp;icep_vectorid=229466&amp;kwid=902099&amp;mtid=824&amp;kw=lg" xr:uid="{00000000-0004-0000-0500-000084000000}"/>
    <hyperlink ref="R35" r:id="rId134" display="https://amzn.to/2Wn0pxO" xr:uid="{00000000-0004-0000-0500-000085000000}"/>
    <hyperlink ref="S35" r:id="rId135" display="https://www.bhphotovideo.com/c/product/1436285-REG/sigma_28mm_f_1_4_dg_hsm.html/BI/19619/KBID/12129/kw/SI2814DGSE/DFF/d10-v2-t1-xSI2814DGSE" xr:uid="{00000000-0004-0000-0500-000086000000}"/>
    <hyperlink ref="T35" r:id="rId136" display="https://amzn.to/2WzVkHd" xr:uid="{00000000-0004-0000-0500-000087000000}"/>
    <hyperlink ref="U35" r:id="rId137" display="http://rover.ebay.com/rover/1/711-53200-19255-0/1?icep_ff3=9&amp;pub=5575076376&amp;toolid=10001&amp;campid=5338573609&amp;customid=&amp;icep_uq=sigma+art+28mm+e-mount&amp;icep_sellerId=&amp;icep_ex_kw=&amp;icep_sortBy=12&amp;icep_catId=3323&amp;icep_minPrice=&amp;icep_maxPrice=&amp;ipn=psmain&amp;icep_vectorid=229466&amp;kwid=902099&amp;mtid=824&amp;kw=lg" xr:uid="{00000000-0004-0000-0500-000088000000}"/>
    <hyperlink ref="A36" r:id="rId138" display="https://www.systemkamera-forum.de/blog/2015/05/sony-fe-28mm-f2-test-und-erfahrungsbericht/" xr:uid="{00000000-0004-0000-0500-000089000000}"/>
    <hyperlink ref="R36" r:id="rId139" display="https://amzn.to/2GXJWdo" xr:uid="{00000000-0004-0000-0500-00008A000000}"/>
    <hyperlink ref="S36" r:id="rId140" display="https://www.bhphotovideo.com/c/product/1402637-REG/sony_fe_28mm_f_2_lens.html/BI/19619/KBID/12129/kw/SO2820F/DFF/d10-v2-t1-xSO2820F" xr:uid="{00000000-0004-0000-0500-00008B000000}"/>
    <hyperlink ref="T36" r:id="rId141" display="http://amzn.to/2wyLOCO" xr:uid="{00000000-0004-0000-0500-00008C000000}"/>
    <hyperlink ref="U36" r:id="rId142" display="http://rover.ebay.com/rover/1/711-53200-19255-0/1?icep_ff3=10&amp;pub=5575076376&amp;toolid=10001&amp;campid=5338164340&amp;customid=&amp;icep_uq=sony+28+f2&amp;icep_sellerId=&amp;icep_ex_kw=&amp;icep_sortBy=12&amp;icep_catId=&amp;icep_minPrice=&amp;icep_maxPrice=&amp;ipn=psmain&amp;icep_vectorid=229466&amp;kwid=902099&amp;mtid=824&amp;kw=lg" xr:uid="{00000000-0004-0000-0500-00008D000000}"/>
    <hyperlink ref="A37" r:id="rId143" display="https://phillipreeve.net/blog/review-tamron-28-75mm-f-2-8-di-iii-rxd-sony-e-mount/" xr:uid="{00000000-0004-0000-0500-00008E000000}"/>
    <hyperlink ref="R37" r:id="rId144" display="https://amzn.to/2ST5uxq" xr:uid="{00000000-0004-0000-0500-00008F000000}"/>
    <hyperlink ref="S37" r:id="rId145" display="https://www.bhphotovideo.com/c/product/1393332-REG/tamron_a036_28_75mm_f_2_8_di_iii.html/BI/19619/KBID/12129/DFF/d10-v21-t1-x892059/SID/EZ" xr:uid="{00000000-0004-0000-0500-000090000000}"/>
    <hyperlink ref="T37" r:id="rId146" display="https://amzn.to/2ZmSzdU" xr:uid="{00000000-0004-0000-0500-000091000000}"/>
    <hyperlink ref="U37" r:id="rId147" display="http://rover.ebay.com/rover/1/711-53200-19255-0/1?icep_ff3=9&amp;pub=5575076376&amp;toolid=10001&amp;campid=5338573609&amp;customid=&amp;icep_uq=tamron+28-75+sony&amp;icep_sellerId=&amp;icep_ex_kw=&amp;icep_sortBy=12&amp;icep_catId=3323&amp;icep_minPrice=&amp;icep_maxPrice=&amp;ipn=psmain&amp;icep_vectorid=229466&amp;kwid=902099&amp;mtid=824&amp;kw=lg" xr:uid="{00000000-0004-0000-0500-000092000000}"/>
    <hyperlink ref="R38" r:id="rId148" display="https://www.amazon.com/gp/product/B00FYOFADE/ref=as_li_tl?ie=UTF8&amp;tag=wwwphillipree-20&amp;camp=1789&amp;creative=9325&amp;linkCode=as2&amp;creativeASIN=B00FYOFADE&amp;linkId=96720b245156eae53bb1a672d4453d3f" xr:uid="{00000000-0004-0000-0500-000093000000}"/>
    <hyperlink ref="S38" r:id="rId149" display="https://www.bhphotovideo.com/c/product/1015472-REG/sony_sel2870_fe_28_70mm_f_3_5_5_6_oss.html/BI/19619/KBID/12129/DFF/d10-v21-t1-x473993/SID/EZ" xr:uid="{00000000-0004-0000-0500-000094000000}"/>
    <hyperlink ref="T38" r:id="rId150" display="https://www.amazon.de/gp/product/B00HSHFPD0/ref=as_li_tl?ie=UTF8&amp;tag=wwwphillipree-21&amp;camp=1638&amp;creative=6742&amp;linkCode=as2&amp;creativeASIN=B00HSHFPD0&amp;linkId=6701f30673f8a4071232ca85e1953506" xr:uid="{00000000-0004-0000-0500-000095000000}"/>
    <hyperlink ref="U38" r:id="rId151" display="http://rover.ebay.com/rover/1/711-53200-19255-0/1?icep_ff3=10&amp;pub=5575153444&amp;toolid=10001&amp;campid=5338162593&amp;customid=&amp;icep_uq=Sony+28-70+FE&amp;icep_sellerId=&amp;icep_ex_kw=&amp;icep_sortBy=12&amp;icep_catId=&amp;icep_minPrice=&amp;icep_maxPrice=&amp;ipn=psmain&amp;icep_vectorid=229466&amp;kwid=902099&amp;mtid=824&amp;kw=lg" xr:uid="{00000000-0004-0000-0500-000096000000}"/>
    <hyperlink ref="R39" r:id="rId152" display="http://amzn.to/2v2kiy9" xr:uid="{00000000-0004-0000-0500-000097000000}"/>
    <hyperlink ref="S39" r:id="rId153" display="https://www.bhphotovideo.com/c/product/1082051-REG/sony_selp28135g_e_pz_28_135mm_f_4.html/BI/19619/KBID/12129/DFF/d10-v21-t1-x556056/SID/EZ" xr:uid="{00000000-0004-0000-0500-000098000000}"/>
    <hyperlink ref="T39" r:id="rId154" display="http://amzn.to/2wlpg9b" xr:uid="{00000000-0004-0000-0500-000099000000}"/>
    <hyperlink ref="U39" r:id="rId155" display="http://rover.ebay.com/rover/1/711-53200-19255-0/1?icep_ff3=10&amp;pub=5575076376&amp;toolid=10001&amp;campid=5338164340&amp;customid=&amp;icep_uq=sony+28-135&amp;icep_sellerId=&amp;icep_ex_kw=&amp;icep_sortBy=12&amp;icep_catId=&amp;icep_minPrice=&amp;icep_maxPrice=&amp;ipn=psmain&amp;icep_vectorid=229466&amp;kwid=902099&amp;mtid=824&amp;kw=lg" xr:uid="{00000000-0004-0000-0500-00009A000000}"/>
    <hyperlink ref="A40" r:id="rId156" display="https://phillipreeve.net/blog/review-sigma-35mm-1-2-art-dg-dn/" xr:uid="{00000000-0004-0000-0500-00009B000000}"/>
    <hyperlink ref="R40" r:id="rId157" display="https://amzn.to/2LiHhxc" xr:uid="{00000000-0004-0000-0500-00009C000000}"/>
    <hyperlink ref="S40" r:id="rId158" display="https://www.bhphotovideo.com/c/product/1492967-REG/sigma_341969_35mm_f_1_2_dg_dn.html/BI/19619/KBID/12129/DFF/d10-v21-t1-x976038/SID/EZ" xr:uid="{00000000-0004-0000-0500-00009D000000}"/>
    <hyperlink ref="U40" r:id="rId159" display="http://rover.ebay.com/rover/1/711-53200-19255-0/1?icep_ff3=9&amp;pub=5575076376&amp;toolid=10001&amp;campid=5338573609&amp;customid=&amp;icep_uq=sigma+art+35+1.2+-1.4+sony&amp;icep_sellerId=&amp;icep_ex_kw=&amp;icep_sortBy=12&amp;icep_catId=3323&amp;icep_minPrice=&amp;icep_maxPrice=&amp;ipn=psmain&amp;icep_vectorid=229466&amp;kwid=902099&amp;mtid=824&amp;kw=lg" xr:uid="{00000000-0004-0000-0500-00009E000000}"/>
    <hyperlink ref="A41" r:id="rId160" display="https://phillipreeve.net/blog/review-sony-fe-35mm-1-4-za/" xr:uid="{00000000-0004-0000-0500-00009F000000}"/>
    <hyperlink ref="R41" r:id="rId161" display="https://amzn.to/2LRSMOS" xr:uid="{00000000-0004-0000-0500-0000A0000000}"/>
    <hyperlink ref="S41" r:id="rId162" display="https://www.bhphotovideo.com/c/product/1126137-REG/sony_sel35f14z_distagon_t_fe_35mm.html/BI/19619/KBID/12129/DFF/d10-v21-t1-x612725/SID/EZ" xr:uid="{00000000-0004-0000-0500-0000A1000000}"/>
    <hyperlink ref="T41" r:id="rId163" display="https://amzn.to/2ZmfSnX" xr:uid="{00000000-0004-0000-0500-0000A2000000}"/>
    <hyperlink ref="U41" r:id="rId164" display="http://rover.ebay.com/rover/1/711-53200-19255-0/1?icep_ff3=9&amp;pub=5575076376&amp;toolid=10001&amp;campid=5338573609&amp;customid=&amp;icep_uq=sony+35+1.4+fe-a-mount&amp;icep_sellerId=&amp;icep_ex_kw=&amp;icep_sortBy=12&amp;icep_catId=3323&amp;icep_minPrice=&amp;icep_maxPrice=&amp;ipn=psmain&amp;icep_vectorid=229466&amp;kwid=902099&amp;mtid=824&amp;kw=lg" xr:uid="{00000000-0004-0000-0500-0000A3000000}"/>
    <hyperlink ref="A42" r:id="rId165" display="https://phillipreeve.net/blog/review-samyang-af-35-1-4-fe/" xr:uid="{00000000-0004-0000-0500-0000A4000000}"/>
    <hyperlink ref="R42" r:id="rId166" display="https://amzn.to/2K8DDXH" xr:uid="{00000000-0004-0000-0500-0000A5000000}"/>
    <hyperlink ref="S42" r:id="rId167" display="https://www.bhphotovideo.com/c/product/1373698-REG/samyang_syio3514_e_35mm_f1_4_auto_focus.html/BI/19619/KBID/12129/DFF/d10-v21-t1-x858016/SID/EZ" xr:uid="{00000000-0004-0000-0500-0000A6000000}"/>
    <hyperlink ref="T42" r:id="rId168" display="https://amzn.to/2Zhl3FI" xr:uid="{00000000-0004-0000-0500-0000A7000000}"/>
    <hyperlink ref="U42" r:id="rId169" display="http://rover.ebay.com/rover/1/711-53200-19255-0/1?icep_ff3=9&amp;pub=5575076376&amp;toolid=10001&amp;campid=5338573609&amp;customid=&amp;icep_uq=sony+35+1.4+samyang+af&amp;icep_sellerId=&amp;icep_ex_kw=&amp;icep_sortBy=12&amp;icep_catId=3323&amp;icep_minPrice=&amp;icep_maxPrice=&amp;ipn=psmain&amp;icep_vectorid=229466&amp;kwid=902099&amp;mtid=824&amp;kw=lg" xr:uid="{00000000-0004-0000-0500-0000A8000000}"/>
    <hyperlink ref="A43" r:id="rId170" display="https://phillipreeve.net/blog/review-voigtlander-35mm-1-4-nokton-e-classic/" xr:uid="{00000000-0004-0000-0500-0000A9000000}"/>
    <hyperlink ref="R43" r:id="rId171" display="https://amzn.to/2M1M8WH" xr:uid="{00000000-0004-0000-0500-0000AA000000}"/>
    <hyperlink ref="S43" r:id="rId172" display="https://www.bhphotovideo.com/c/product/1381712-REG/voigtlander_nokton_classic_35mm_f_1_4.html/BI/19619/KBID/12129/DFF/d10-v21-t1-x877353/SID/EZ" xr:uid="{00000000-0004-0000-0500-0000AB000000}"/>
    <hyperlink ref="T43" r:id="rId173" display="https://amzn.to/2ZswTZ3" xr:uid="{00000000-0004-0000-0500-0000AC000000}"/>
    <hyperlink ref="U43" r:id="rId174" display="http://rover.ebay.com/rover/1/711-53200-19255-0/1?icep_ff3=9&amp;pub=5575076376&amp;toolid=10001&amp;campid=5338573609&amp;customid=&amp;icep_uq=Voigtlander+Sony+35mm+1.4&amp;icep_sellerId=&amp;icep_ex_kw=&amp;icep_sortBy=12&amp;icep_catId=3323&amp;icep_minPrice=&amp;icep_maxPrice=&amp;ipn=psmain&amp;icep_vectorid=229466&amp;kwid=902099&amp;mtid=824&amp;kw=lg" xr:uid="{00000000-0004-0000-0500-0000AD000000}"/>
    <hyperlink ref="A44" r:id="rId175" display="https://phillipreeve.net/blog/review-sigma-35mm-1-4-art/" xr:uid="{00000000-0004-0000-0500-0000AE000000}"/>
    <hyperlink ref="R44" r:id="rId176" display="https://amzn.to/2LOaQcZ" xr:uid="{00000000-0004-0000-0500-0000AF000000}"/>
    <hyperlink ref="S44" r:id="rId177" display="https://www.bhphotovideo.com/c/product/1393492-REG/sigma_35mm_f_1_4_dg_hsm.html/BI/19619/KBID/12129/DFF/d10-v21-t1-x881157/SID/EZ" xr:uid="{00000000-0004-0000-0500-0000B0000000}"/>
    <hyperlink ref="T44" r:id="rId178" display="https://amzn.to/2ZrfakE" xr:uid="{00000000-0004-0000-0500-0000B1000000}"/>
    <hyperlink ref="U44" r:id="rId179" display="http://rover.ebay.com/rover/1/711-53200-19255-0/1?icep_ff3=9&amp;pub=5575076376&amp;toolid=10001&amp;campid=5338573609&amp;customid=&amp;icep_uq=sony+35+1.4+sigma+af&amp;icep_sellerId=&amp;icep_ex_kw=&amp;icep_sortBy=12&amp;icep_catId=3323&amp;icep_minPrice=&amp;icep_maxPrice=&amp;ipn=psmain&amp;icep_vectorid=229466&amp;kwid=902099&amp;mtid=824&amp;kw=lg" xr:uid="{00000000-0004-0000-0500-0000B2000000}"/>
    <hyperlink ref="A45" r:id="rId180" display="https://phillipreeve.net/blog/review-sony-fe-35mm-f1-8/" xr:uid="{00000000-0004-0000-0500-0000B3000000}"/>
    <hyperlink ref="R45" r:id="rId181" display="https://amzn.to/31HFLMg" xr:uid="{00000000-0004-0000-0500-0000B4000000}"/>
    <hyperlink ref="S45" r:id="rId182" display="https://www.bhphotovideo.com/c/product/1492866-REG/sony_sel35f18f_35mm_f_1_8_fe_lens.html/BI/19619/KBID/12129/DFF/d10-v21-t1-x975763/SID/EZ" xr:uid="{00000000-0004-0000-0500-0000B5000000}"/>
    <hyperlink ref="T45" r:id="rId183" display="https://amzn.to/2PiATLC" xr:uid="{00000000-0004-0000-0500-0000B6000000}"/>
    <hyperlink ref="U45" r:id="rId184" display="http://rover.ebay.com/rover/1/711-53200-19255-0/1?icep_ff3=9&amp;pub=5575076376&amp;toolid=10001&amp;campid=5338573609&amp;customid=&amp;icep_uq=sony+fe+35+1.8&amp;icep_sellerId=&amp;icep_ex_kw=&amp;icep_sortBy=12&amp;icep_catId=3323&amp;icep_minPrice=&amp;icep_maxPrice=&amp;ipn=psmain&amp;icep_vectorid=229466&amp;kwid=902099&amp;mtid=824&amp;kw=lg" xr:uid="{00000000-0004-0000-0500-0000B7000000}"/>
    <hyperlink ref="A46" r:id="rId185" display="https://phillipreeve.net/blog/review-zeiss-loxia-35mm-2-0/" xr:uid="{00000000-0004-0000-0500-0000B8000000}"/>
    <hyperlink ref="R46" r:id="rId186" display="https://amzn.to/2T2sJWe" xr:uid="{00000000-0004-0000-0500-0000B9000000}"/>
    <hyperlink ref="S46" r:id="rId187" display="https://www.bhphotovideo.com/c/product/1080388-REG/zeiss_2103_749_loxia_35mm_f_2_biogon.html/BI/19619/KBID/12129/DFF/d10-v21-t1-x553792/SID/EZ" xr:uid="{00000000-0004-0000-0500-0000BA000000}"/>
    <hyperlink ref="U46" r:id="rId188" display="http://rover.ebay.com/rover/1/711-53200-19255-0/1?icep_ff3=9&amp;pub=5575076376&amp;toolid=10001&amp;campid=5338573609&amp;customid=&amp;icep_uq=loxia+35&amp;icep_sellerId=&amp;icep_ex_kw=&amp;icep_sortBy=12&amp;icep_catId=3323&amp;icep_minPrice=&amp;icep_maxPrice=&amp;ipn=psmain&amp;icep_vectorid=229466&amp;kwid=902099&amp;mtid=824&amp;kw=lg" xr:uid="{00000000-0004-0000-0500-0000BB000000}"/>
    <hyperlink ref="A47" r:id="rId189" display="http://www.photozone.de/sonyalphaff/865-zeiss35f28ff" xr:uid="{00000000-0004-0000-0500-0000BC000000}"/>
    <hyperlink ref="R47" r:id="rId190" display="https://amzn.to/2yvhL24" xr:uid="{00000000-0004-0000-0500-0000BD000000}"/>
    <hyperlink ref="S47" r:id="rId191" display="https://www.bhphotovideo.com/c/product/1008123-REG/sony_sel35f28z_sonnar_t_fe_35mm.html/BI/19619/KBID/12129/DFF/d10-v21-t1-x466840/SID/EZ" xr:uid="{00000000-0004-0000-0500-0000BE000000}"/>
    <hyperlink ref="U47" r:id="rId192" display="http://rover.ebay.com/rover/1/711-53200-19255-0/1?icep_ff3=9&amp;pub=5575076376&amp;toolid=10001&amp;campid=5338573609&amp;customid=&amp;icep_uq=sony+35+2.8+&amp;icep_sellerId=&amp;icep_ex_kw=&amp;icep_sortBy=12&amp;icep_catId=3323&amp;icep_minPrice=&amp;icep_maxPrice=&amp;ipn=psmain&amp;icep_vectorid=229466&amp;kwid=902099&amp;mtid=824&amp;kw=lg" xr:uid="{00000000-0004-0000-0500-0000BF000000}"/>
    <hyperlink ref="A48" r:id="rId193" display="https://phillipreeve.net/blog/review-tamron-35mm-f-2-8-di-iii-osd-m12/" xr:uid="{00000000-0004-0000-0500-0000C0000000}"/>
    <hyperlink ref="R48" r:id="rId194" display="https://amzn.to/2LUF8sR" xr:uid="{00000000-0004-0000-0500-0000C1000000}"/>
    <hyperlink ref="S48" r:id="rId195" display="https://www.bhphotovideo.com/c/product/1512043-REG/tamron_f035_35mm_f_2_8_di_iii.html/BI/19619/KBID/12129/DFF/d10-v21-t1-x994972/SID/EZ" xr:uid="{00000000-0004-0000-0500-0000C2000000}"/>
    <hyperlink ref="T48" r:id="rId196" display="https://amzn.to/36BcBQO" xr:uid="{00000000-0004-0000-0500-0000C3000000}"/>
    <hyperlink ref="U48" r:id="rId197" display="http://rover.ebay.com/rover/1/711-53200-19255-0/1?icep_ff3=9&amp;pub=5575076376&amp;toolid=10001&amp;campid=5338573609&amp;customid=&amp;icep_uq=tamron+35+2.8+osd+&amp;icep_sellerId=&amp;icep_ex_kw=&amp;icep_sortBy=12&amp;icep_catId=3323&amp;icep_minPrice=&amp;icep_maxPrice=&amp;ipn=psmain&amp;icep_vectorid=229466&amp;kwid=902099&amp;mtid=824&amp;kw=lg" xr:uid="{00000000-0004-0000-0500-0000C4000000}"/>
    <hyperlink ref="R49" r:id="rId198" display="https://amzn.to/2MGKrxp" xr:uid="{00000000-0004-0000-0500-0000C5000000}"/>
    <hyperlink ref="S49" r:id="rId199" display="https://www.bhphotovideo.com/c/product/1348365-REG/samyang_syio35af_e_35mm_f2_8_compact_wide.html/BI/19619/KBID/12129/DFF/d10-v21-t1-x832776/SID/EZ" xr:uid="{00000000-0004-0000-0500-0000C6000000}"/>
    <hyperlink ref="T49" r:id="rId200" display="https://amzn.to/2rM4SRk" xr:uid="{00000000-0004-0000-0500-0000C7000000}"/>
    <hyperlink ref="U49" r:id="rId201" display="http://rover.ebay.com/rover/1/711-53200-19255-0/1?icep_ff3=9&amp;pub=5575076376&amp;toolid=10001&amp;campid=5338573609&amp;customid=&amp;icep_uq=samyang+35+2.8+&amp;icep_sellerId=&amp;icep_ex_kw=&amp;icep_sortBy=12&amp;icep_catId=3323&amp;icep_minPrice=&amp;icep_maxPrice=&amp;ipn=psmain&amp;icep_vectorid=229466&amp;kwid=902099&amp;mtid=824&amp;kw=lg" xr:uid="{00000000-0004-0000-0500-0000C8000000}"/>
    <hyperlink ref="A50" r:id="rId202" display="https://phillipreeve.net/blog/voigtlander-40mm-f1-2-nokton-aspherical-rolling-review/" xr:uid="{00000000-0004-0000-0500-0000C9000000}"/>
    <hyperlink ref="R50" r:id="rId203" display="https://amzn.to/2A412DK" xr:uid="{00000000-0004-0000-0500-0000CA000000}"/>
    <hyperlink ref="S50" r:id="rId204" display="https://www.bhphotovideo.com/c/product/1362557-REG/voigtlander_nokton_40mm_f_1_2_aspherical.html/BI/19619/KBID/12129/DFF/d10-v21-t1-x851241/SID/EZ" xr:uid="{00000000-0004-0000-0500-0000CB000000}"/>
    <hyperlink ref="U50" r:id="rId205" display="http://rover.ebay.com/rover/1/711-53200-19255-0/1?icep_ff3=9&amp;pub=5575076376&amp;toolid=10001&amp;campid=5338573609&amp;customid=&amp;icep_uq=Voigtlander+Sony+40mm+1.2&amp;icep_sellerId=&amp;icep_ex_kw=&amp;icep_sortBy=12&amp;icep_catId=3323&amp;icep_minPrice=&amp;icep_maxPrice=&amp;ipn=psmain&amp;icep_vectorid=229466&amp;kwid=902099&amp;mtid=824&amp;kw=lg" xr:uid="{00000000-0004-0000-0500-0000CC000000}"/>
    <hyperlink ref="A51" r:id="rId206" display="https://phillipreeve.net/blog/review-sigma-40mm-1-4-art/" xr:uid="{00000000-0004-0000-0500-0000CD000000}"/>
    <hyperlink ref="R51" r:id="rId207" display="https://amzn.to/2SYXFXq" xr:uid="{00000000-0004-0000-0500-0000CE000000}"/>
    <hyperlink ref="S51" r:id="rId208" display="https://www.bhphotovideo.com/c/product/1436292-REG/sigma_40mm_f_1_4_dg_hsm.html/BI/19619/KBID/12129/DFF/d10-v21-t1-x925196/SID/EZ" xr:uid="{00000000-0004-0000-0500-0000CF000000}"/>
    <hyperlink ref="U51" r:id="rId209" display="http://rover.ebay.com/rover/1/711-53200-19255-0/1?icep_ff3=9&amp;pub=5575076376&amp;toolid=10001&amp;campid=5338164340&amp;customid=&amp;icep_uq=sigma+40+1.4+art+sony&amp;icep_sellerId=&amp;icep_ex_kw=&amp;icep_sortBy=12&amp;icep_catId=3323&amp;icep_minPrice=&amp;icep_maxPrice=&amp;ipn=psmain&amp;icep_vectorid=229466&amp;kwid=902099&amp;mtid=824&amp;kw=lg" xr:uid="{00000000-0004-0000-0500-0000D0000000}"/>
    <hyperlink ref="A52" r:id="rId210" display="https://phillipreeve.net/blog/review-zeiss-batis-2-40-cf/" xr:uid="{00000000-0004-0000-0500-0000D1000000}"/>
    <hyperlink ref="R52" r:id="rId211" display="https://amzn.to/2LUN0MF" xr:uid="{00000000-0004-0000-0500-0000D2000000}"/>
    <hyperlink ref="S52" r:id="rId212" display="https://www.bhphotovideo.com/c/product/1436738-REG/zeiss_000000_2239_137_batis_40mm_f_2_cf.html/BI/19619/KBID/12129/DFF/d10-v21-t1-x915694/SID/EZ" xr:uid="{00000000-0004-0000-0500-0000D3000000}"/>
    <hyperlink ref="U52" r:id="rId213" display="http://rover.ebay.com/rover/1/711-53200-19255-0/1?icep_ff3=9&amp;pub=5575076376&amp;toolid=10001&amp;campid=5338164340&amp;customid=&amp;icep_uq=batis+40&amp;icep_sellerId=&amp;icep_ex_kw=&amp;icep_sortBy=12&amp;icep_catId=3323&amp;icep_minPrice=&amp;icep_maxPrice=&amp;ipn=psmain&amp;icep_vectorid=229466&amp;kwid=902099&amp;mtid=824&amp;kw=lg" xr:uid="{00000000-0004-0000-0500-0000D4000000}"/>
    <hyperlink ref="R53" r:id="rId214" display="https://amzn.to/2YC6MST" xr:uid="{00000000-0004-0000-0500-0000D5000000}"/>
    <hyperlink ref="S53" r:id="rId215" display="https://www.bhphotovideo.com/c/product/1478738-REG/samyang_af_45mm_f_1_8_fe.html/BI/19619/KBID/12129/DFF/d10-v21-t1-x964329/SID/EZ" xr:uid="{00000000-0004-0000-0500-0000D6000000}"/>
    <hyperlink ref="U53" r:id="rId216" display="http://rover.ebay.com/rover/1/711-53200-19255-0/1?icep_ff3=9&amp;pub=5575076376&amp;toolid=10001&amp;campid=5338164340&amp;customid=&amp;icep_uq=samyang+45mm+sony&amp;icep_sellerId=&amp;icep_ex_kw=&amp;icep_sortBy=12&amp;icep_catId=3323&amp;icep_minPrice=&amp;icep_maxPrice=&amp;ipn=psmain&amp;icep_vectorid=229466&amp;kwid=902099&amp;mtid=824&amp;kw=lg" xr:uid="{00000000-0004-0000-0500-0000D7000000}"/>
    <hyperlink ref="R54" r:id="rId217" display="https://amzn.to/2SYEvAX" xr:uid="{00000000-0004-0000-0500-0000D8000000}"/>
    <hyperlink ref="S54" r:id="rId218" display="https://www.bhphotovideo.com/c/product/1492966-REG/sigma_360965_45mm_f_2_8_dg_dn.html/BI/19619/KBID/12129/DFF/d10-v21-t1-x976020/SID/EZ" xr:uid="{00000000-0004-0000-0500-0000D9000000}"/>
    <hyperlink ref="U54" r:id="rId219" display="http://rover.ebay.com/rover/1/711-53200-19255-0/1?icep_ff3=9&amp;pub=5575076376&amp;toolid=10001&amp;campid=5338164340&amp;customid=&amp;icep_uq=sigma+45+2.8+sony&amp;icep_sellerId=&amp;icep_ex_kw=&amp;icep_sortBy=12&amp;icep_catId=3323&amp;icep_minPrice=&amp;icep_maxPrice=&amp;ipn=psmain&amp;icep_vectorid=229466&amp;kwid=902099&amp;mtid=824&amp;kw=lg" xr:uid="{00000000-0004-0000-0500-0000DA000000}"/>
    <hyperlink ref="A55" r:id="rId220" display="https://phillipreeve.net/blog/review-voigtlander-50mm-1-2-nokton-e/" xr:uid="{00000000-0004-0000-0500-0000DB000000}"/>
    <hyperlink ref="R55" r:id="rId221" display="https://amzn.to/2OAfE7N" xr:uid="{00000000-0004-0000-0500-0000DC000000}"/>
    <hyperlink ref="S55" r:id="rId222" display="https://www.bhphotovideo.com/c/product/1433349-REG/voigtlander_ba348a_nokton_50mm_f_1_2_aspherical.html/BI/19619/KBID/12129/DFF/d10-v21-t1-x915623/SID/EZ" xr:uid="{00000000-0004-0000-0500-0000DD000000}"/>
    <hyperlink ref="U55" r:id="rId223" display="http://rover.ebay.com/rover/1/711-53200-19255-0/1?icep_ff3=9&amp;pub=5575076376&amp;toolid=10001&amp;campid=5338164340&amp;customid=&amp;icep_uq=voigtlander+sony+50+1.2&amp;icep_sellerId=&amp;icep_ex_kw=&amp;icep_sortBy=12&amp;icep_catId=3323&amp;icep_minPrice=&amp;icep_maxPrice=&amp;ipn=psmain&amp;icep_vectorid=229466&amp;kwid=902099&amp;mtid=824&amp;kw=lg" xr:uid="{00000000-0004-0000-0500-0000DE000000}"/>
    <hyperlink ref="R56" r:id="rId224" display="https://amzn.to/2K88EL7" xr:uid="{00000000-0004-0000-0500-0000DF000000}"/>
    <hyperlink ref="S56" r:id="rId225" display="https://www.bhphotovideo.com/c/product/1264965-REG/sony_sel50f14z_planar_t_fe_50mm.html/BI/19619/KBID/12129/DFF/d10-v21-t1-x746806/SID/EZ" xr:uid="{00000000-0004-0000-0500-0000E0000000}"/>
    <hyperlink ref="U56" r:id="rId226" display="http://rover.ebay.com/rover/1/711-53200-19255-0/1?icep_ff3=9&amp;pub=5575076376&amp;toolid=10001&amp;campid=5338164340&amp;customid=&amp;icep_uq=sony+50+1.4+za&amp;icep_sellerId=&amp;icep_ex_kw=&amp;icep_sortBy=12&amp;icep_catId=3323&amp;icep_minPrice=&amp;icep_maxPrice=&amp;ipn=psmain&amp;icep_vectorid=229466&amp;kwid=902099&amp;mtid=824&amp;kw=lg" xr:uid="{00000000-0004-0000-0500-0000E1000000}"/>
    <hyperlink ref="R57" r:id="rId227" display="https://amzn.to/2K4JmyT" xr:uid="{00000000-0004-0000-0500-0000E2000000}"/>
    <hyperlink ref="S57" r:id="rId228" display="https://www.bhphotovideo.com/c/product/1393493-REG/sigma_50mm_f_1_4_dg_hsm.html/BI/19619/KBID/12129/kw/SI5014SO/DFF/d10-v2-t1-xSI5014SO" xr:uid="{00000000-0004-0000-0500-0000E3000000}"/>
    <hyperlink ref="T57" r:id="rId229" display="https://amzn.to/2Wpdoz5" xr:uid="{00000000-0004-0000-0500-0000E4000000}"/>
    <hyperlink ref="U57" r:id="rId230" display="http://rover.ebay.com/rover/1/711-53200-19255-0/1?icep_ff3=9&amp;pub=5575076376&amp;toolid=10001&amp;campid=5338164340&amp;customid=&amp;icep_uq=sigma+sony+art+50+1.4&amp;icep_sellerId=&amp;icep_ex_kw=&amp;icep_sortBy=12&amp;icep_catId=3323&amp;icep_minPrice=&amp;icep_maxPrice=&amp;ipn=psmain&amp;icep_vectorid=229466&amp;kwid=902099&amp;mtid=824&amp;kw=lg" xr:uid="{00000000-0004-0000-0500-0000E5000000}"/>
    <hyperlink ref="R58" r:id="rId231" display="https://amzn.to/2SY1Pyr" xr:uid="{00000000-0004-0000-0500-0000E6000000}"/>
    <hyperlink ref="S58" r:id="rId232" display="https://www.bhphotovideo.com/c/product/1352862-REG/samyang_syio50af_e_50mm_f_1_4_auto_focus.html/BI/19619/KBID/12129/DFF/d10-v21-t1-x837927/SID/EZ" xr:uid="{00000000-0004-0000-0500-0000E7000000}"/>
    <hyperlink ref="U58" r:id="rId233" display="http://rover.ebay.com/rover/1/711-53200-19255-0/1?icep_ff3=9&amp;pub=5575076376&amp;toolid=10001&amp;campid=5338164340&amp;customid=&amp;icep_uq=samyang+50+1.4+sony+af&amp;icep_sellerId=&amp;icep_ex_kw=&amp;icep_sortBy=12&amp;icep_catId=3323&amp;icep_minPrice=&amp;icep_maxPrice=&amp;ipn=psmain&amp;icep_vectorid=229466&amp;kwid=902099&amp;mtid=824&amp;kw=lg" xr:uid="{00000000-0004-0000-0500-0000E8000000}"/>
    <hyperlink ref="A59" r:id="rId234" display="https://phillipreeve.net/blog/review-sony-fe-1-850/" xr:uid="{00000000-0004-0000-0500-0000E9000000}"/>
    <hyperlink ref="R59" r:id="rId235" display="http://amzn.to/2v2F5Se" xr:uid="{00000000-0004-0000-0500-0000EA000000}"/>
    <hyperlink ref="S59" r:id="rId236" display="https://www.bhphotovideo.com/c/product/1242613-REG/sony_sel50f18f_fe_50mm_f_1_8_lens.html/BI/19619/KBID/12129/kw/SO5018F/DFF/d10-v2-t1-xSO5018F" xr:uid="{00000000-0004-0000-0500-0000EB000000}"/>
    <hyperlink ref="T59" r:id="rId237" display="http://amzn.to/2wyHB25" xr:uid="{00000000-0004-0000-0500-0000EC000000}"/>
    <hyperlink ref="U59" r:id="rId238" display="http://rover.ebay.com/rover/1/711-53200-19255-0/1?icep_ff3=10&amp;pub=5575076376&amp;toolid=10001&amp;campid=5338164340&amp;customid=&amp;icep_uq=sony+50+1.8+fe+-oss&amp;icep_sellerId=&amp;icep_ex_kw=&amp;icep_sortBy=12&amp;icep_catId=&amp;icep_minPrice=&amp;icep_maxPrice=&amp;ipn=psmain&amp;icep_vectorid=229466&amp;kwid=902099&amp;mtid=824&amp;kw=lg" xr:uid="{00000000-0004-0000-0500-0000ED000000}"/>
    <hyperlink ref="A60" r:id="rId239" display="https://docs.google.com/document/d/115s6JHR9S4pBUesKJEkgWeoP8rcGbT31p6fQSg5SFQM/edit?usp=sharing" xr:uid="{00000000-0004-0000-0500-0000EE000000}"/>
    <hyperlink ref="R60" r:id="rId240" display="https://amzn.to/2uCNQ9n" xr:uid="{00000000-0004-0000-0500-0000EF000000}"/>
    <hyperlink ref="S60" r:id="rId241" display="https://www.bhphotovideo.com/c/product/1526146-REG/voigtlander_apo_lanthar50_apo_lanthar_50mm_f_2_aspherical.html/BI/19619/KBID/12129/DFF/d10-v21-t1-x1008376/SID/EZ" xr:uid="{00000000-0004-0000-0500-0000F0000000}"/>
    <hyperlink ref="A61" r:id="rId242" display="https://phillipreeve.net/blog/review-zeiss-loxia-planar-250-t/" xr:uid="{00000000-0004-0000-0500-0000F1000000}"/>
    <hyperlink ref="R61" r:id="rId243" display="http://amzn.to/2faVsIu" xr:uid="{00000000-0004-0000-0500-0000F2000000}"/>
    <hyperlink ref="S61" r:id="rId244" display="https://www.bhphotovideo.com/c/product/1080387-REG/zeiss_2103_748_loxia_50mm_f_2_planar.html/BI/19619/KBID/12129/kw/ZE502LFE/DFF/d10-v2-t1-xZE502LFE" xr:uid="{00000000-0004-0000-0500-0000F3000000}"/>
    <hyperlink ref="T61" r:id="rId245" display="http://amzn.to/2wyJAU4" xr:uid="{00000000-0004-0000-0500-0000F4000000}"/>
    <hyperlink ref="U61" r:id="rId246" display="http://rover.ebay.com/rover/1/711-53200-19255-0/1?icep_ff3=9&amp;pub=5575076376&amp;toolid=10001&amp;campid=5338164340&amp;customid=&amp;icep_uq=loxia++50+sony&amp;icep_sellerId=&amp;icep_ex_kw=&amp;icep_sortBy=12&amp;icep_catId=3323&amp;icep_minPrice=&amp;icep_maxPrice=&amp;ipn=psmain&amp;icep_vectorid=229466&amp;kwid=902099&amp;mtid=824&amp;kw=lg" xr:uid="{00000000-0004-0000-0500-0000F5000000}"/>
    <hyperlink ref="A62" r:id="rId247" display="https://phillipreeve.net/blog/rolling-review-sony-fe-2-850-macro/" xr:uid="{00000000-0004-0000-0500-0000F6000000}"/>
    <hyperlink ref="R62" r:id="rId248" display="http://amzn.to/2v2g0qz" xr:uid="{00000000-0004-0000-0500-0000F7000000}"/>
    <hyperlink ref="S62" r:id="rId249" display="https://www.bhphotovideo.com/c/product/1277527-REG/sony_sel50m28_fe_50mm_f_2_8_macro.html/BI/19619/KBID/12129/kw/SO5028FF/DFF/d10-v2-t1-xSO5028FF" xr:uid="{00000000-0004-0000-0500-0000F8000000}"/>
    <hyperlink ref="T62" r:id="rId250" display="http://amzn.to/2vbknRN" xr:uid="{00000000-0004-0000-0500-0000F9000000}"/>
    <hyperlink ref="U62" r:id="rId251" display="http://rover.ebay.com/rover/1/711-53200-19255-0/1?icep_ff3=10&amp;pub=5575076376&amp;toolid=10001&amp;campid=5338164340&amp;customid=&amp;icep_uq=sony+50+macro+fe&amp;icep_sellerId=&amp;icep_ex_kw=&amp;icep_sortBy=12&amp;icep_catId=&amp;icep_minPrice=&amp;icep_maxPrice=&amp;ipn=psmain&amp;icep_vectorid=229466&amp;kwid=902099&amp;mtid=824&amp;kw=lg" xr:uid="{00000000-0004-0000-0500-0000FA000000}"/>
    <hyperlink ref="A63" r:id="rId252" display="https://phillipreeve.net/blog/sony-fe-1-855-za-sonnar-t-review/" xr:uid="{00000000-0004-0000-0500-0000FB000000}"/>
    <hyperlink ref="R63" r:id="rId253" display="https://amzn.to/2ywdgEk" xr:uid="{00000000-0004-0000-0500-0000FC000000}"/>
    <hyperlink ref="S63" r:id="rId254" display="https://www.bhphotovideo.com/c/product/1008124-REG/sony_sel55f18z_sonnar_t_fe_55mm.html/BI/19619/KBID/12129/DFF/d10-v21-t1-x466841/SID/EZ" xr:uid="{00000000-0004-0000-0500-0000FD000000}"/>
    <hyperlink ref="U63" r:id="rId255" display="http://rover.ebay.com/rover/1/711-53200-19255-0/1?icep_ff3=9&amp;pub=5575076376&amp;toolid=10001&amp;campid=5338164340&amp;customid=&amp;icep_uq=sony+55+1.8&amp;icep_sellerId=&amp;icep_ex_kw=&amp;icep_sortBy=12&amp;icep_catId=3323&amp;icep_minPrice=&amp;icep_maxPrice=&amp;ipn=psmain&amp;icep_vectorid=229466&amp;kwid=902099&amp;mtid=824&amp;kw=lg" xr:uid="{00000000-0004-0000-0500-0000FE000000}"/>
    <hyperlink ref="A64" r:id="rId256" display="https://phillipreeve.net/blog/voigtlander-65-f2-apo-macro-review/" xr:uid="{00000000-0004-0000-0500-0000FF000000}"/>
    <hyperlink ref="R64" r:id="rId257" display="https://amzn.to/2LU48SI" xr:uid="{00000000-0004-0000-0500-000000010000}"/>
    <hyperlink ref="S64" r:id="rId258" display="https://www.bhphotovideo.com/c/product/1350400-REG/voigtlander_macro_apo_lanthar_65mm_f2.html/BI/19619/KBID/12129/DFF/d10-v21-t1-x835677/SID/EZ" xr:uid="{00000000-0004-0000-0500-000001010000}"/>
    <hyperlink ref="U64" r:id="rId259" display="http://rover.ebay.com/rover/1/711-53200-19255-0/1?icep_ff3=9&amp;pub=5575076376&amp;toolid=10001&amp;campid=5338164340&amp;customid=&amp;icep_uq=voigtlander+65+apo+sony&amp;icep_sellerId=&amp;icep_ex_kw=&amp;icep_sortBy=12&amp;icep_catId=3323&amp;icep_minPrice=&amp;icep_maxPrice=&amp;ipn=psmain&amp;icep_vectorid=229466&amp;kwid=902099&amp;mtid=824&amp;kw=lg" xr:uid="{00000000-0004-0000-0500-000002010000}"/>
    <hyperlink ref="R65" r:id="rId260" display="https://amzn.to/2YGO9te" xr:uid="{00000000-0004-0000-0500-000003010000}"/>
    <hyperlink ref="S65" r:id="rId261" display="https://www.bhphotovideo.com/c/product/1393483-REG/sigma_70mm_f_2_8_dg_macro.html/BI/19619/KBID/12129/DFF/d10-v21-t1-x895111/SID/EZ" xr:uid="{00000000-0004-0000-0500-000004010000}"/>
    <hyperlink ref="U65" r:id="rId262" display="http://rover.ebay.com/rover/1/711-53200-19255-0/1?icep_ff3=9&amp;pub=5575076376&amp;toolid=10001&amp;campid=5338164340&amp;customid=&amp;icep_uq=sigma+70+2.8+macro+sony&amp;icep_sellerId=&amp;icep_ex_kw=&amp;icep_sortBy=12&amp;icep_catId=3323&amp;icep_minPrice=&amp;icep_maxPrice=&amp;ipn=psmain&amp;icep_vectorid=229466&amp;kwid=902099&amp;mtid=824&amp;kw=lg" xr:uid="{00000000-0004-0000-0500-000005010000}"/>
    <hyperlink ref="R66" r:id="rId263" display="https://amzn.to/2KbaJGn" xr:uid="{00000000-0004-0000-0500-000006010000}"/>
    <hyperlink ref="S66" r:id="rId264" display="https://www.bhphotovideo.com/c/product/1222776-REG/sony_sel70200gm_fe_70_200mm_f_2_8_gm.html/BI/19619/KBID/12129/DFF/d10-v21-t1-x746807/SID/EZ" xr:uid="{00000000-0004-0000-0500-000007010000}"/>
    <hyperlink ref="U66" r:id="rId265" display="http://rover.ebay.com/rover/1/711-53200-19255-0/1?icep_ff3=9&amp;pub=5575076376&amp;toolid=10001&amp;campid=5338164340&amp;customid=&amp;icep_uq=sony+gm+70-200&amp;icep_sellerId=&amp;icep_ex_kw=&amp;icep_sortBy=12&amp;icep_catId=3323&amp;icep_minPrice=&amp;icep_maxPrice=&amp;ipn=psmain&amp;icep_vectorid=229466&amp;kwid=902099&amp;mtid=824&amp;kw=lg" xr:uid="{00000000-0004-0000-0500-000008010000}"/>
    <hyperlink ref="R68" r:id="rId266" display="https://amzn.to/2SVN1Ao" xr:uid="{00000000-0004-0000-0500-000009010000}"/>
    <hyperlink ref="S68" r:id="rId267" display="https://www.bhphotovideo.com/c/product/1242614-REG/sony_sel70300g_fe_70_300mm_f_4_5_5_6_g.html/BI/19619/KBID/12129/DFF/d10-v21-t1-x722726/SID/EZ" xr:uid="{00000000-0004-0000-0500-00000A010000}"/>
    <hyperlink ref="U68" r:id="rId268" display="http://rover.ebay.com/rover/1/711-53200-19255-0/1?icep_ff3=9&amp;pub=5575076376&amp;toolid=10001&amp;campid=5338164340&amp;customid=&amp;icep_uq=sony+70-300+g+oss+-ssm&amp;icep_sellerId=&amp;icep_ex_kw=&amp;icep_sortBy=12&amp;icep_catId=3323&amp;icep_minPrice=&amp;icep_maxPrice=&amp;ipn=psmain&amp;icep_vectorid=229466&amp;kwid=902099&amp;mtid=824&amp;kw=lg" xr:uid="{00000000-0004-0000-0500-00000B010000}"/>
    <hyperlink ref="A69" r:id="rId269" display="https://phillipreeve.net/blog/review-sony-fe-470-200-g-oss/https:/phillipreeve.net/blog/review-sony-fe-470-200-g-oss/" xr:uid="{00000000-0004-0000-0500-00000C010000}"/>
    <hyperlink ref="R69" r:id="rId270" display="http://amzn.to/2fbeX3x" xr:uid="{00000000-0004-0000-0500-00000D010000}"/>
    <hyperlink ref="S69" r:id="rId271" display="https://www.bhphotovideo.com/c/product/1380865-REG/sony_fe_70_200mm_f_4_g.html/BI/19619/KBID/12129/kw/SO702004F/DFF/d10-v2-t1-xSO702004F" xr:uid="{00000000-0004-0000-0500-00000E010000}"/>
    <hyperlink ref="T69" r:id="rId272" display="http://amzn.to/2vbFQKj" xr:uid="{00000000-0004-0000-0500-00000F010000}"/>
    <hyperlink ref="U69" r:id="rId273" display="http://rover.ebay.com/rover/1/711-53200-19255-0/1?icep_ff3=10&amp;pub=5575076376&amp;toolid=10001&amp;campid=5338164340&amp;customid=&amp;icep_uq=sony+70-200+g+4&amp;icep_sellerId=&amp;icep_ex_kw=&amp;icep_sortBy=12&amp;icep_catId=&amp;icep_minPrice=&amp;icep_maxPrice=&amp;ipn=psmain&amp;icep_vectorid=229466&amp;kwid=902099&amp;mtid=824&amp;kw=lg" xr:uid="{00000000-0004-0000-0500-000010010000}"/>
    <hyperlink ref="A70" r:id="rId274" display="https://phillipreeve.net/blog/review-sony-fe-85mm-1-4-gm/" xr:uid="{00000000-0004-0000-0500-000011010000}"/>
    <hyperlink ref="R70" r:id="rId275" display="https://amzn.to/2SZeKAh" xr:uid="{00000000-0004-0000-0500-000012010000}"/>
    <hyperlink ref="S70" r:id="rId276" display="https://www.bhphotovideo.com/c/product/1222775-REG/sony_sel85f14gm_fe_85mm_f_1_4_gm.html/BI/19619/KBID/12129/DFF/d10-v21-t1-x707644/SID/EZ" xr:uid="{00000000-0004-0000-0500-000013010000}"/>
    <hyperlink ref="U70" r:id="rId277" display="http://rover.ebay.com/rover/1/711-53200-19255-0/1?icep_ff3=9&amp;pub=5575076376&amp;toolid=10001&amp;campid=5338164340&amp;customid=&amp;icep_uq=sony+gm+85+1.4&amp;icep_sellerId=&amp;icep_ex_kw=&amp;icep_sortBy=12&amp;icep_catId=3323&amp;icep_minPrice=&amp;icep_maxPrice=&amp;ipn=psmain&amp;icep_vectorid=229466&amp;kwid=902099&amp;mtid=824&amp;kw=lg" xr:uid="{00000000-0004-0000-0500-000014010000}"/>
    <hyperlink ref="R71" r:id="rId278" display="https://amzn.to/2MBd68k" xr:uid="{00000000-0004-0000-0500-000015010000}"/>
    <hyperlink ref="S71" r:id="rId279" display="https://www.bhphotovideo.com/c/product/1393494-REG/sigma_85mm_f_1_4_dg_hsm.html/BI/19619/KBID/12129/kw/SI8514SO/DFF/d10-v2-t1-xSI8514SO" xr:uid="{00000000-0004-0000-0500-000016010000}"/>
    <hyperlink ref="T71" r:id="rId280" display="https://amzn.to/2Wto6JH" xr:uid="{00000000-0004-0000-0500-000017010000}"/>
    <hyperlink ref="U71" r:id="rId281" display="http://rover.ebay.com/rover/1/711-53200-19255-0/1?icep_ff3=9&amp;pub=5575076376&amp;toolid=10001&amp;campid=5338164340&amp;customid=&amp;icep_uq=sigma+85+1.4+sony&amp;icep_sellerId=&amp;icep_ex_kw=&amp;icep_sortBy=12&amp;icep_catId=3323&amp;icep_minPrice=&amp;icep_maxPrice=&amp;ipn=psmain&amp;icep_vectorid=229466&amp;kwid=902099&amp;mtid=824&amp;kw=lg" xr:uid="{00000000-0004-0000-0500-000018010000}"/>
    <hyperlink ref="R72" r:id="rId282" display="https://amzn.to/2T0yJ1A" xr:uid="{00000000-0004-0000-0500-000019010000}"/>
    <hyperlink ref="S72" r:id="rId283" display="https://www.bhphotovideo.com/c/product/1470654-REG/samyang_syio85af_e_af_85mm_f_1_4_lens.html/BI/19619/KBID/12129/DFF/d10-v21-t1-x955078/SID/EZ" xr:uid="{00000000-0004-0000-0500-00001A010000}"/>
    <hyperlink ref="U72" r:id="rId284" display="http://rover.ebay.com/rover/1/711-53200-19255-0/1?icep_ff3=9&amp;pub=5575076376&amp;toolid=10001&amp;campid=5338164340&amp;customid=&amp;icep_uq=samyang+85+1.4+sony+af&amp;icep_sellerId=&amp;icep_ex_kw=&amp;icep_sortBy=12&amp;icep_catId=3323&amp;icep_minPrice=&amp;icep_maxPrice=&amp;ipn=psmain&amp;icep_vectorid=229466&amp;kwid=902099&amp;mtid=824&amp;kw=lg" xr:uid="{00000000-0004-0000-0500-00001B010000}"/>
    <hyperlink ref="A73" r:id="rId285" display="https://phillipreeve.net/blog/review-sony-fe-85-mm-1-8/" xr:uid="{00000000-0004-0000-0500-00001C010000}"/>
    <hyperlink ref="R73" r:id="rId286" display="https://amzn.to/2YB4RxU" xr:uid="{00000000-0004-0000-0500-00001D010000}"/>
    <hyperlink ref="S73" r:id="rId287" display="https://www.bhphotovideo.com/c/product/1140833-REG/zeiss_2103_751_85mm_f_1_8_batis_short.html/BI/19619/KBID/12129/DFF/d10-v21-t1-x627139/SID/EZ" xr:uid="{00000000-0004-0000-0500-00001E010000}"/>
    <hyperlink ref="U73" r:id="rId288" display="http://rover.ebay.com/rover/1/711-53200-19255-0/1?icep_ff3=9&amp;pub=5575076376&amp;toolid=10001&amp;campid=5338164340&amp;customid=&amp;icep_uq=sony+85mm+1.8+fe&amp;icep_sellerId=&amp;icep_ex_kw=&amp;icep_sortBy=12&amp;icep_catId=3323&amp;icep_minPrice=&amp;icep_maxPrice=&amp;ipn=psmain&amp;icep_vectorid=229466&amp;kwid=902099&amp;mtid=824&amp;kw=lg" xr:uid="{00000000-0004-0000-0500-00001F010000}"/>
    <hyperlink ref="A75" r:id="rId289" display="https://phillipreeve.net/blog/zeiss-batis-sonnar-t-85mm-f1-8-a-review/" xr:uid="{00000000-0004-0000-0500-000020010000}"/>
    <hyperlink ref="R75" r:id="rId290" display="https://amzn.to/2T8oWqt" xr:uid="{00000000-0004-0000-0500-000021010000}"/>
    <hyperlink ref="S75" r:id="rId291" display="https://www.bhphotovideo.com/c/product/1140833-REG/zeiss_2103_751_85mm_f_1_8_batis_short.html/BI/19619/KBID/12129/DFF/d10-v21-t1-x627139/SID/EZ" xr:uid="{00000000-0004-0000-0500-000022010000}"/>
    <hyperlink ref="U75" r:id="rId292" display="http://rover.ebay.com/rover/1/711-53200-19255-0/1?icep_ff3=9&amp;pub=5575076376&amp;toolid=10001&amp;campid=5338164340&amp;customid=&amp;icep_uq=batis+85mm+1.8+sony&amp;icep_sellerId=&amp;icep_ex_kw=&amp;icep_sortBy=12&amp;icep_catId=3323&amp;icep_minPrice=&amp;icep_maxPrice=&amp;ipn=psmain&amp;icep_vectorid=229466&amp;kwid=902099&amp;mtid=824&amp;kw=lg" xr:uid="{00000000-0004-0000-0500-000023010000}"/>
    <hyperlink ref="R76" r:id="rId293" display="https://amzn.to/2LVVOBV" xr:uid="{00000000-0004-0000-0500-000024010000}"/>
    <hyperlink ref="U76" r:id="rId294" display="http://rover.ebay.com/rover/1/711-53200-19255-0/1?icep_ff3=9&amp;pub=5575076376&amp;toolid=10001&amp;campid=5338164340&amp;customid=&amp;icep_uq=viltrox+85mm+1.8+sony+-stm&amp;icep_sellerId=&amp;icep_ex_kw=&amp;icep_sortBy=12&amp;icep_catId=3323&amp;icep_minPrice=&amp;icep_maxPrice=&amp;ipn=psmain&amp;icep_vectorid=229466&amp;kwid=902099&amp;mtid=824&amp;kw=lg" xr:uid="{00000000-0004-0000-0500-000025010000}"/>
    <hyperlink ref="A77" r:id="rId295" display="https://phillipreeve.net/blog/review-viltrox-85-mm-f-1-8-stm-af-pfu-rbmh/" xr:uid="{00000000-0004-0000-0500-000026010000}"/>
    <hyperlink ref="R77" r:id="rId296" display="https://amzn.to/2SZfd5v" xr:uid="{00000000-0004-0000-0500-000027010000}"/>
    <hyperlink ref="S77" r:id="rId297" display="https://www.bhphotovideo.com/c/product/1470585-REG/viltrox_pfu_rbmh_85mm_f1_8_stm_e_mount_85mm_f_1_8_lens_for.html/BI/19619/KBID/12129/DFF/d10-v21-t1-x955239/SID/EZ" xr:uid="{00000000-0004-0000-0500-000028010000}"/>
    <hyperlink ref="U77" r:id="rId298" display="http://rover.ebay.com/rover/1/711-53200-19255-0/1?icep_ff3=9&amp;pub=5575076376&amp;toolid=10001&amp;campid=5338164340&amp;customid=&amp;icep_uq=viltrox+85mm+1.8+sony+stm&amp;icep_sellerId=&amp;icep_ex_kw=&amp;icep_sortBy=12&amp;icep_catId=3323&amp;icep_minPrice=&amp;icep_maxPrice=&amp;ipn=psmain&amp;icep_vectorid=229466&amp;kwid=902099&amp;mtid=824&amp;kw=lg" xr:uid="{00000000-0004-0000-0500-000029010000}"/>
    <hyperlink ref="A78" r:id="rId299" display="https://phillipreeve.net/blog/rolling-review-zeiss-loxia-85mm-2-4/" xr:uid="{00000000-0004-0000-0500-00002A010000}"/>
    <hyperlink ref="R78" r:id="rId300" display="https://amzn.to/2SY4PLd" xr:uid="{00000000-0004-0000-0500-00002B010000}"/>
    <hyperlink ref="S78" r:id="rId301" display="https://www.bhphotovideo.com/c/product/1282150-REG/zeiss_2162_636_loxia_85mm_f_2_4_lens.html/BI/19619/KBID/12129/DFF/d10-v21-t1-x762761/SID/EZ" xr:uid="{00000000-0004-0000-0500-00002C010000}"/>
    <hyperlink ref="U78" r:id="rId302" display="http://rover.ebay.com/rover/1/711-53200-19255-0/1?icep_ff3=9&amp;pub=5575076376&amp;toolid=10001&amp;campid=5338164340&amp;customid=&amp;icep_uq=loxia+85+sony&amp;icep_sellerId=&amp;icep_ex_kw=&amp;icep_sortBy=12&amp;icep_catId=3323&amp;icep_minPrice=&amp;icep_maxPrice=&amp;ipn=psmain&amp;icep_vectorid=229466&amp;kwid=902099&amp;mtid=824&amp;kw=lg" xr:uid="{00000000-0004-0000-0500-00002D010000}"/>
    <hyperlink ref="A79" r:id="rId303" display="https://phillipreeve.net/blog/review-sony-fe-90mm-f2-8-macro-oss-one-of-sonys-finest/" xr:uid="{00000000-0004-0000-0500-00002E010000}"/>
    <hyperlink ref="R79" r:id="rId304" display="http://amzn.to/2fbeX3x" xr:uid="{00000000-0004-0000-0500-00002F010000}"/>
    <hyperlink ref="S79" r:id="rId305" display="https://www.bhphotovideo.com/c/product/1380868-REG/sony_fe_90mm_f_2_8_macro.html/BI/19619/KBID/12129/kw/SO9028F/DFF/d10-v2-t1-xSO9028F" xr:uid="{00000000-0004-0000-0500-000030010000}"/>
    <hyperlink ref="T79" r:id="rId306" display="http://amzn.to/2vvvHcw" xr:uid="{00000000-0004-0000-0500-000031010000}"/>
    <hyperlink ref="U79" r:id="rId307" display="http://rover.ebay.com/rover/1/711-53200-19255-0/1?icep_ff3=10&amp;pub=5575076376&amp;toolid=10001&amp;campid=5338164340&amp;customid=&amp;icep_uq=sony+90+macro+oss&amp;icep_sellerId=&amp;icep_ex_kw=&amp;icep_sortBy=12&amp;icep_catId=&amp;icep_minPrice=&amp;icep_maxPrice=&amp;ipn=psmain&amp;icep_vectorid=229466&amp;kwid=902099&amp;mtid=824&amp;kw=lg" xr:uid="{00000000-0004-0000-0500-000032010000}"/>
    <hyperlink ref="A80" r:id="rId308" display="https://phillipreeve.net/blog/review-sony-fe-100-f-2-8-stf-gm-oss-lens/" xr:uid="{00000000-0004-0000-0500-000033010000}"/>
    <hyperlink ref="R80" r:id="rId309" display="https://amzn.to/2YD8rn4" xr:uid="{00000000-0004-0000-0500-000034010000}"/>
    <hyperlink ref="S80" r:id="rId310" display="https://www.bhphotovideo.com/c/product/1317561-REG/sony_sel100f28gm_fe_100mm_f_2_8_stf.html/BI/19619/KBID/12129/DFF/d10-v21-t1-x795192/SID/EZ" xr:uid="{00000000-0004-0000-0500-000035010000}"/>
    <hyperlink ref="U80" r:id="rId311" display="http://rover.ebay.com/rover/1/711-53200-19255-0/1?icep_ff3=9&amp;pub=5575076376&amp;toolid=10001&amp;campid=5338164340&amp;customid=&amp;icep_uq=sony+gm+stf+100&amp;icep_sellerId=&amp;icep_ex_kw=&amp;icep_sortBy=12&amp;icep_catId=3323&amp;icep_minPrice=&amp;icep_maxPrice=&amp;ipn=psmain&amp;icep_vectorid=229466&amp;kwid=902099&amp;mtid=824&amp;kw=lg" xr:uid="{00000000-0004-0000-0500-000036010000}"/>
    <hyperlink ref="A81" r:id="rId312" display="https://phillipreeve.net/blog/review-tokina-firin-100mm-f2-8-fe-macro/" xr:uid="{00000000-0004-0000-0500-000037010000}"/>
    <hyperlink ref="R81" r:id="rId313" display="http://amzn.to/2fbeX3x" xr:uid="{00000000-0004-0000-0500-000038010000}"/>
    <hyperlink ref="S81" r:id="rId314" display="https://www.bhphotovideo.com/c/product/1473390-REG/tokina_frn_afm100fxse_firin_100mm_f_2_8_fe.html/BI/19619/KBID/12129/kw/TO100AF/DFF/d10-v2-t1-xTO100AF" xr:uid="{00000000-0004-0000-0500-000039010000}"/>
    <hyperlink ref="T81" r:id="rId315" display="https://www.amazon.de/Tokina-FiRIN-Makroobjektiv-Vollformatobjektiv-Mount/dp/B07R1KVZT9/ref=as_li_ss_tl?__mk_de_DE=%C3%85M%C3%85%C5%BD%C3%95%C3%91&amp;crid=27PITEVDHE0QD&amp;keywords=tokina+firin+100mm+f2.8+fe&amp;qid=1559375443&amp;s=ce-de&amp;sprefix=tokina+firin+100,electronics,147&amp;sr=1-1&amp;linkCode=sl1&amp;tag=phillipreevede-21&amp;linkId=4c09b31d0be3bd64b2efe254f502e267&amp;language=de_DE" xr:uid="{00000000-0004-0000-0500-00003A010000}"/>
    <hyperlink ref="U81" r:id="rId316" display="http://rover.ebay.com/rover/1/711-53200-19255-0/1?icep_ff3=10&amp;pub=5575076376&amp;toolid=10001&amp;campid=5338164340&amp;customid=&amp;icep_uq=tokina+firin+macro&amp;icep_sellerId=&amp;icep_ex_kw=&amp;icep_sortBy=12&amp;icep_catId=&amp;icep_minPrice=&amp;icep_maxPrice=&amp;ipn=psmain&amp;icep_vectorid=229466&amp;kwid=902099&amp;mtid=824&amp;kw=lg" xr:uid="{00000000-0004-0000-0500-00003B010000}"/>
    <hyperlink ref="R82" r:id="rId317" display="https://amzn.to/2SZ0aZO" xr:uid="{00000000-0004-0000-0500-00003C010000}"/>
    <hyperlink ref="S82" r:id="rId318" display="https://www.bhphotovideo.com/c/product/1333230-REG/sony_sel100400gm_fe_100_400mm_f_4_5_5_6_gm.html/BI/19619/KBID/12129/DFF/d10-v21-t1-x817745/SID/EZ" xr:uid="{00000000-0004-0000-0500-00003D010000}"/>
    <hyperlink ref="U82" r:id="rId319" display="http://rover.ebay.com/rover/1/711-53200-19255-0/1?icep_ff3=9&amp;pub=5575076376&amp;toolid=10001&amp;campid=5338164340&amp;customid=&amp;icep_uq=sony+gm+100-400&amp;icep_sellerId=&amp;icep_ex_kw=&amp;icep_sortBy=12&amp;icep_catId=3323&amp;icep_minPrice=&amp;icep_maxPrice=&amp;ipn=psmain&amp;icep_vectorid=229466&amp;kwid=902099&amp;mtid=824&amp;kw=lg" xr:uid="{00000000-0004-0000-0500-00003E010000}"/>
    <hyperlink ref="R83" r:id="rId320" display="https://amzn.to/2EWeThZ" xr:uid="{00000000-0004-0000-0500-00003F010000}"/>
    <hyperlink ref="S83" r:id="rId321" display="https://www.bhphotovideo.com/c/product/1393488-REG/sigma_105mm_f_1_4_dg_hsm.html/BI/19619/KBID/12129/kw/SI10514SO/DFF/d10-v2-t1-xSI10514SO" xr:uid="{00000000-0004-0000-0500-000040010000}"/>
    <hyperlink ref="T83" r:id="rId322" display="https://amzn.to/2WpOvTy" xr:uid="{00000000-0004-0000-0500-000041010000}"/>
    <hyperlink ref="U83" r:id="rId323" display="http://rover.ebay.com/rover/1/711-53200-19255-0/1?icep_ff3=9&amp;pub=5575076376&amp;toolid=10001&amp;campid=5338164340&amp;customid=&amp;icep_uq=sigma+art+105+1.4+sony&amp;icep_sellerId=&amp;icep_ex_kw=&amp;icep_sortBy=12&amp;icep_catId=3323&amp;icep_minPrice=&amp;icep_maxPrice=&amp;ipn=psmain&amp;icep_vectorid=229466&amp;kwid=902099&amp;mtid=824&amp;kw=lg" xr:uid="{00000000-0004-0000-0500-000042010000}"/>
    <hyperlink ref="A84" r:id="rId324" display="https://phillipreeve.net/blog/voigtlander-110mm-f2-5-apo-review/" xr:uid="{00000000-0004-0000-0500-000043010000}"/>
    <hyperlink ref="R84" r:id="rId325" display="https://amzn.to/2SXYsrm" xr:uid="{00000000-0004-0000-0500-000044010000}"/>
    <hyperlink ref="S84" r:id="rId326" display="https://www.bhphotovideo.com/c/product/1418780-REG/voigtlander_ba349a_macro_apo_lanthar_110mm_f_2_5.html/BI/19619/KBID/12129/kw/VO11025/DFF/d10-v2-t1-xVO11025" xr:uid="{00000000-0004-0000-0500-000045010000}"/>
    <hyperlink ref="U84" r:id="rId327" display="http://rover.ebay.com/rover/1/711-53200-19255-0/1?icep_ff3=9&amp;pub=5575076376&amp;toolid=10001&amp;campid=5338164340&amp;customid=&amp;icep_uq=voigtlander+110mm+apo+sony&amp;icep_sellerId=&amp;icep_ex_kw=&amp;icep_sortBy=12&amp;icep_catId=3323&amp;icep_minPrice=&amp;icep_maxPrice=&amp;ipn=psmain&amp;icep_vectorid=229466&amp;kwid=902099&amp;mtid=824&amp;kw=lg" xr:uid="{00000000-0004-0000-0500-000046010000}"/>
    <hyperlink ref="A85" r:id="rId328" display="https://phillipreeve.net/blog/review-sony-fe-135mm-f1-8-gm/" xr:uid="{00000000-0004-0000-0500-000047010000}"/>
    <hyperlink ref="R85" r:id="rId329" display="https://amzn.to/2WtonMJ" xr:uid="{00000000-0004-0000-0500-000048010000}"/>
    <hyperlink ref="S85" r:id="rId330" display="https://www.bhphotovideo.com/c/product/1393495-REG/sigma_135mm_f_1_8_dg_hsm.html/BI/19619/KBID/12129/kw/SI13518SO/DFF/d10-v2-t1-xSI13518SO" xr:uid="{00000000-0004-0000-0500-000049010000}"/>
    <hyperlink ref="T85" r:id="rId331" display="https://amzn.to/2Z9KKDE" xr:uid="{00000000-0004-0000-0500-00004A010000}"/>
    <hyperlink ref="U85" r:id="rId332" display="http://rover.ebay.com/rover/1/711-53200-19255-0/1?icep_ff3=9&amp;pub=5575076376&amp;toolid=10001&amp;campid=5338164340&amp;customid=&amp;icep_uq=sony+gm+135+&amp;icep_sellerId=&amp;icep_ex_kw=&amp;icep_sortBy=12&amp;icep_catId=3323&amp;icep_minPrice=&amp;icep_maxPrice=&amp;ipn=psmain&amp;icep_vectorid=229466&amp;kwid=902099&amp;mtid=824&amp;kw=lg" xr:uid="{00000000-0004-0000-0500-00004B010000}"/>
    <hyperlink ref="R86" r:id="rId333" display="https://amzn.to/2yxIM4R" xr:uid="{00000000-0004-0000-0500-00004C010000}"/>
    <hyperlink ref="S86" r:id="rId334" display="https://www.bhphotovideo.com/c/product/1393495-REG/sigma_135mm_f_1_8_dg_hsm.html/BI/19619/KBID/12129/DFF/d10-v21-t1-x881160/SID/EZ" xr:uid="{00000000-0004-0000-0500-00004D010000}"/>
    <hyperlink ref="U86" r:id="rId335" display="http://rover.ebay.com/rover/1/711-53200-19255-0/1?icep_ff3=9&amp;pub=5575076376&amp;toolid=10001&amp;campid=5338164340&amp;customid=&amp;icep_uq=sigma+art+135+sony&amp;icep_sellerId=&amp;icep_ex_kw=&amp;icep_sortBy=12&amp;icep_catId=3323&amp;icep_minPrice=&amp;icep_maxPrice=&amp;ipn=psmain&amp;icep_vectorid=229466&amp;kwid=902099&amp;mtid=824&amp;kw=lg" xr:uid="{00000000-0004-0000-0500-00004E010000}"/>
    <hyperlink ref="A87" r:id="rId336" display="https://phillipreeve.net/blog/zeiss-batis-apo-sonnar-t-135mm-f2-8/" xr:uid="{00000000-0004-0000-0500-00004F010000}"/>
    <hyperlink ref="R87" r:id="rId337" display="https://amzn.to/319GJA4" xr:uid="{00000000-0004-0000-0500-000050010000}"/>
    <hyperlink ref="S87" r:id="rId338" display="https://www.bhphotovideo.com/c/product/1330083-REG/zeiss_2136_695_batis_135mm_f_2_8_lens.html/BI/19619/KBID/12129/DFF/d10-v21-t1-x814884/SID/EZ" xr:uid="{00000000-0004-0000-0500-000051010000}"/>
    <hyperlink ref="U87" r:id="rId339" display="http://rover.ebay.com/rover/1/711-53200-19255-0/1?icep_ff3=9&amp;pub=5575076376&amp;toolid=10001&amp;campid=5338164340&amp;customid=&amp;icep_uq=zeiss+batis+135+2.8&amp;icep_sellerId=&amp;icep_ex_kw=&amp;icep_sortBy=12&amp;icep_catId=3323&amp;icep_minPrice=&amp;icep_maxPrice=&amp;ipn=psmain&amp;icep_vectorid=229466&amp;kwid=902099&amp;mtid=824&amp;kw=lg" xr:uid="{00000000-0004-0000-0500-000052010000}"/>
    <hyperlink ref="S88" r:id="rId340" display="https://www.bhphotovideo.com/c/product/1485540-REG/sony_sel200600g_fe_200_600mm_f_5_6_6_3_g.html/BI/19619/KBID/12129/DFF/d10-v21-t1-x968882/SID/EZ" xr:uid="{00000000-0004-0000-0500-000053010000}"/>
    <hyperlink ref="U88" r:id="rId341" display="http://rover.ebay.com/rover/1/711-53200-19255-0/1?icep_ff3=9&amp;pub=5575076376&amp;toolid=10001&amp;campid=5338164340&amp;customid=&amp;icep_uq=sony+200-600&amp;icep_sellerId=&amp;icep_ex_kw=&amp;icep_sortBy=12&amp;icep_catId=3323&amp;icep_minPrice=&amp;icep_maxPrice=&amp;ipn=psmain&amp;icep_vectorid=229466&amp;kwid=902099&amp;mtid=824&amp;kw=lg" xr:uid="{00000000-0004-0000-0500-000054010000}"/>
    <hyperlink ref="S89" r:id="rId342" display="https://www.bhphotovideo.com/c/product/1369634-REG/sony_fe_400mm_f_2_8_gm.html/BI/19619/KBID/12129/DFF/d10-v21-t1-x905722/SID/EZ" xr:uid="{00000000-0004-0000-0500-000055010000}"/>
    <hyperlink ref="U89" r:id="rId343" display="http://rover.ebay.com/rover/1/711-53200-19255-0/1?icep_ff3=9&amp;pub=5575076376&amp;toolid=10001&amp;campid=5338164340&amp;customid=&amp;icep_uq=sony+400+gm&amp;icep_sellerId=&amp;icep_ex_kw=&amp;icep_sortBy=12&amp;icep_catId=3323&amp;icep_minPrice=&amp;icep_maxPrice=&amp;ipn=psmain&amp;icep_vectorid=229466&amp;kwid=902099&amp;mtid=824&amp;kw=lg" xr:uid="{00000000-0004-0000-0500-000056010000}"/>
    <hyperlink ref="S90" r:id="rId344" display="https://www.bhphotovideo.com/c/product/1485539-REG/sony_sel600f40gm_fe_600mm_f_4_gm.html/BI/19619/KBID/12129/DFF/d10-v21-t1-x968881/SID/EZ" xr:uid="{00000000-0004-0000-0500-000057010000}"/>
    <hyperlink ref="U90" r:id="rId345" display="http://rover.ebay.com/rover/1/711-53200-19255-0/1?icep_ff3=9&amp;pub=5575076376&amp;toolid=10001&amp;campid=5338164340&amp;customid=&amp;icep_uq=sony+600+gm&amp;icep_sellerId=&amp;icep_ex_kw=&amp;icep_sortBy=12&amp;icep_catId=3323&amp;icep_minPrice=&amp;icep_maxPrice=&amp;ipn=psmain&amp;icep_vectorid=229466&amp;kwid=902099&amp;mtid=824&amp;kw=lg" xr:uid="{00000000-0004-0000-0500-00005801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outlinePr summaryBelow="0" summaryRight="0"/>
  </sheetPr>
  <dimension ref="A1:V106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9.1640625" customWidth="1"/>
    <col min="2" max="2" width="6.5" customWidth="1"/>
    <col min="3" max="3" width="8.1640625" customWidth="1"/>
    <col min="4" max="4" width="8" customWidth="1"/>
    <col min="5" max="6" width="7.33203125" customWidth="1"/>
    <col min="7" max="7" width="4" customWidth="1"/>
    <col min="8" max="8" width="7.1640625" customWidth="1"/>
    <col min="9" max="9" width="4.5" customWidth="1"/>
    <col min="10" max="10" width="7.6640625" customWidth="1"/>
    <col min="11" max="14" width="4" customWidth="1"/>
    <col min="15" max="15" width="7.5" customWidth="1"/>
    <col min="16" max="16" width="5.5" customWidth="1"/>
    <col min="17" max="17" width="5" customWidth="1"/>
    <col min="18" max="18" width="6.1640625" customWidth="1"/>
    <col min="19" max="19" width="13.33203125" customWidth="1"/>
    <col min="20" max="20" width="7.5" customWidth="1"/>
  </cols>
  <sheetData>
    <row r="1" spans="1:22" ht="76.5" customHeight="1">
      <c r="A1" s="1" t="s">
        <v>0</v>
      </c>
      <c r="B1" s="2" t="s">
        <v>1</v>
      </c>
      <c r="C1" s="3" t="s">
        <v>2</v>
      </c>
      <c r="D1" s="4" t="s">
        <v>3</v>
      </c>
      <c r="E1" s="5" t="s">
        <v>4</v>
      </c>
      <c r="F1" s="6" t="s">
        <v>5</v>
      </c>
      <c r="G1" s="7" t="s">
        <v>6</v>
      </c>
      <c r="H1" s="8" t="s">
        <v>7</v>
      </c>
      <c r="I1" s="3" t="s">
        <v>8</v>
      </c>
      <c r="J1" s="9" t="s">
        <v>9</v>
      </c>
      <c r="K1" s="10" t="s">
        <v>18</v>
      </c>
      <c r="L1" s="11" t="s">
        <v>19</v>
      </c>
      <c r="M1" s="10" t="s">
        <v>20</v>
      </c>
      <c r="N1" s="12" t="s">
        <v>21</v>
      </c>
      <c r="O1" s="3" t="s">
        <v>10</v>
      </c>
      <c r="P1" s="5" t="s">
        <v>11</v>
      </c>
      <c r="Q1" s="3" t="s">
        <v>12</v>
      </c>
      <c r="R1" s="3" t="s">
        <v>13</v>
      </c>
      <c r="S1" s="3" t="s">
        <v>14</v>
      </c>
      <c r="T1" s="3" t="s">
        <v>15</v>
      </c>
      <c r="U1" s="13" t="s">
        <v>22</v>
      </c>
    </row>
    <row r="2" spans="1:22" ht="18" hidden="1" customHeight="1">
      <c r="A2" s="14" t="s">
        <v>23</v>
      </c>
      <c r="B2" s="15"/>
      <c r="C2" s="15"/>
      <c r="D2" s="15"/>
      <c r="E2" s="15"/>
      <c r="F2" s="15"/>
      <c r="G2" s="16"/>
      <c r="H2" s="17"/>
      <c r="I2" s="15"/>
      <c r="J2" s="15"/>
      <c r="K2" s="15"/>
      <c r="L2" s="15"/>
      <c r="M2" s="15"/>
      <c r="N2" s="15"/>
      <c r="O2" s="15"/>
      <c r="P2" s="16"/>
      <c r="Q2" s="15"/>
      <c r="R2" s="16"/>
      <c r="S2" s="18"/>
      <c r="T2" s="16"/>
    </row>
    <row r="3" spans="1:22" ht="13" hidden="1">
      <c r="A3" s="126" t="str">
        <f>HYPERLINK("https://phillipreeve.net/blog/review-voigtlander-10mm-5-6-e-hyper-wide-heliar/","Voigtlander 10mm F5.6 Hyper Wide ")</f>
        <v xml:space="preserve">Voigtlander 10mm F5.6 Hyper Wide </v>
      </c>
      <c r="B3" s="60">
        <v>375</v>
      </c>
      <c r="C3" s="62">
        <v>10</v>
      </c>
      <c r="D3" s="64">
        <v>5.6</v>
      </c>
      <c r="E3" s="245">
        <v>67</v>
      </c>
      <c r="F3" s="246" t="s">
        <v>24</v>
      </c>
      <c r="G3" s="247" t="s">
        <v>25</v>
      </c>
      <c r="H3" s="72" t="s">
        <v>26</v>
      </c>
      <c r="I3" s="74">
        <v>6.7000000000000004E-2</v>
      </c>
      <c r="J3" s="76">
        <v>1099</v>
      </c>
      <c r="K3" s="79" t="str">
        <f>HYPERLINK("https://amzn.to/2jJ8WxH","link*")</f>
        <v>link*</v>
      </c>
      <c r="L3" s="79" t="str">
        <f>HYPERLINK("https://www.bhphotovideo.com/c/product/1219550-REG/voigtlander_ba334b_heliar_hyper_wide_10mm_f_5_6.html/BI/19619/KBID/12129/DFF/d10-v21-t1-x732282/SID/EZ","link*")</f>
        <v>link*</v>
      </c>
      <c r="M3" s="79" t="str">
        <f>HYPERLINK("https://amzn.to/2jG72hr","link*")</f>
        <v>link*</v>
      </c>
      <c r="N3" s="79"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O3" s="84">
        <v>30</v>
      </c>
      <c r="P3" s="70" t="s">
        <v>27</v>
      </c>
      <c r="Q3" s="74">
        <v>10</v>
      </c>
      <c r="R3" s="86" t="s">
        <v>28</v>
      </c>
      <c r="S3" s="74" t="s">
        <v>29</v>
      </c>
      <c r="T3" s="88">
        <v>42552</v>
      </c>
      <c r="U3" s="77" t="s">
        <v>34</v>
      </c>
    </row>
    <row r="4" spans="1:22" ht="13" hidden="1">
      <c r="A4" s="58" t="s">
        <v>35</v>
      </c>
      <c r="B4" s="60">
        <v>565</v>
      </c>
      <c r="C4" s="62">
        <v>12</v>
      </c>
      <c r="D4" s="64">
        <v>4</v>
      </c>
      <c r="E4" s="65">
        <v>87</v>
      </c>
      <c r="F4" s="67">
        <v>117</v>
      </c>
      <c r="G4" s="70" t="s">
        <v>36</v>
      </c>
      <c r="H4" s="72" t="s">
        <v>26</v>
      </c>
      <c r="I4" s="74">
        <v>0.14000000000000001</v>
      </c>
      <c r="J4" s="76">
        <v>1699</v>
      </c>
      <c r="K4" s="79" t="str">
        <f>HYPERLINK("https://amzn.to/2SSzKc4","link*")</f>
        <v>link*</v>
      </c>
      <c r="L4" s="79" t="str">
        <f>HYPERLINK("https://www.bhphotovideo.com/c/product/1338517-REG/sony_sel1224g_fe_12_24mm_f_4_g.html/BI/19619/KBID/12129/DFF/d10-v21-t1-x822838/SID/EZ","link*")</f>
        <v>link*</v>
      </c>
      <c r="M4" s="79" t="str">
        <f>HYPERLINK("https://amzn.to/2Kg94zb","link*")</f>
        <v>link*</v>
      </c>
      <c r="N4" s="79"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4" s="84">
        <v>24</v>
      </c>
      <c r="P4" s="70" t="s">
        <v>27</v>
      </c>
      <c r="Q4" s="74">
        <v>7</v>
      </c>
      <c r="R4" s="86" t="s">
        <v>40</v>
      </c>
      <c r="S4" s="74" t="s">
        <v>41</v>
      </c>
      <c r="T4" s="88">
        <v>42856</v>
      </c>
    </row>
    <row r="5" spans="1:22" ht="13">
      <c r="A5" s="126" t="str">
        <f>HYPERLINK("https://phillipreeve.net/blog/review-voigtlander-12mm-5-6-aspherical-ultra-wide-heliar/","Voigtlander 12mm F5.6 Ultra Wide-Heliar Aspherical")</f>
        <v>Voigtlander 12mm F5.6 Ultra Wide-Heliar Aspherical</v>
      </c>
      <c r="B5" s="60">
        <v>350</v>
      </c>
      <c r="C5" s="62">
        <v>12</v>
      </c>
      <c r="D5" s="64">
        <v>5.6</v>
      </c>
      <c r="E5" s="248">
        <v>67</v>
      </c>
      <c r="F5" s="246">
        <v>68</v>
      </c>
      <c r="G5" s="70" t="s">
        <v>25</v>
      </c>
      <c r="H5" s="72" t="s">
        <v>26</v>
      </c>
      <c r="I5" s="74"/>
      <c r="J5" s="76">
        <v>749</v>
      </c>
      <c r="K5" s="113"/>
      <c r="L5" s="113"/>
      <c r="M5" s="113"/>
      <c r="N5" s="79"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O5" s="84">
        <v>30</v>
      </c>
      <c r="P5" s="70" t="s">
        <v>27</v>
      </c>
      <c r="Q5" s="74">
        <v>10</v>
      </c>
      <c r="R5" s="86" t="s">
        <v>43</v>
      </c>
      <c r="S5" s="74" t="s">
        <v>29</v>
      </c>
      <c r="T5" s="88">
        <v>42583</v>
      </c>
      <c r="U5" s="77" t="s">
        <v>46</v>
      </c>
    </row>
    <row r="6" spans="1:22" ht="13" hidden="1">
      <c r="A6" s="58" t="s">
        <v>45</v>
      </c>
      <c r="B6" s="60">
        <v>1170</v>
      </c>
      <c r="C6" s="62">
        <v>14</v>
      </c>
      <c r="D6" s="100">
        <v>1.8</v>
      </c>
      <c r="E6" s="101">
        <v>95</v>
      </c>
      <c r="F6" s="103">
        <v>126</v>
      </c>
      <c r="G6" s="74" t="s">
        <v>36</v>
      </c>
      <c r="H6" s="72" t="s">
        <v>26</v>
      </c>
      <c r="I6" s="74">
        <v>0.1</v>
      </c>
      <c r="J6" s="76">
        <v>1599</v>
      </c>
      <c r="K6" s="79" t="str">
        <f>HYPERLINK("https://amzn.to/2SOWTvV","link*")</f>
        <v>link*</v>
      </c>
      <c r="L6" s="79" t="str">
        <f>HYPERLINK("https://www.bhphotovideo.com/c/product/1393489-REG/sigma_14mm_f_1_8_dg_hsm.html/BI/19619/KBID/12129/DFF/d10-v21-t1-x881154/SID/EZ","link*")</f>
        <v>link*</v>
      </c>
      <c r="M6" s="79" t="str">
        <f>HYPERLINK("https://amzn.to/2ZDl4QJ","link*")</f>
        <v>link*</v>
      </c>
      <c r="N6" s="79"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O6" s="84">
        <v>27</v>
      </c>
      <c r="P6" s="70" t="s">
        <v>27</v>
      </c>
      <c r="Q6" s="74">
        <v>9</v>
      </c>
      <c r="R6" s="112">
        <v>43785</v>
      </c>
      <c r="S6" s="74" t="s">
        <v>47</v>
      </c>
      <c r="T6" s="88">
        <v>43221</v>
      </c>
      <c r="U6" s="77" t="s">
        <v>48</v>
      </c>
    </row>
    <row r="7" spans="1:22" ht="13" hidden="1">
      <c r="A7" s="58" t="s">
        <v>49</v>
      </c>
      <c r="B7" s="60">
        <v>795</v>
      </c>
      <c r="C7" s="62">
        <v>14</v>
      </c>
      <c r="D7" s="64">
        <v>2.8</v>
      </c>
      <c r="E7" s="65">
        <v>85</v>
      </c>
      <c r="F7" s="103">
        <v>131</v>
      </c>
      <c r="G7" s="74" t="s">
        <v>36</v>
      </c>
      <c r="H7" s="72" t="s">
        <v>26</v>
      </c>
      <c r="I7" s="74">
        <v>0.14000000000000001</v>
      </c>
      <c r="J7" s="76">
        <v>1399</v>
      </c>
      <c r="K7" s="79" t="str">
        <f>HYPERLINK("https://amzn.to/2zt8rMC","link*")</f>
        <v>link*</v>
      </c>
      <c r="L7" s="79" t="str">
        <f>HYPERLINK("https://www.bhphotovideo.com/c/product/1492972-REG/sigma_213965_14_24mm_f_2_8_dg_dn.html/BI/19619/KBID/12129/DFF/d10-v21-t1-x976041/SID/EZ","link*")</f>
        <v>link*</v>
      </c>
      <c r="M7" s="113" t="s">
        <v>51</v>
      </c>
      <c r="N7" s="79"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O7" s="84">
        <v>28</v>
      </c>
      <c r="P7" s="70" t="s">
        <v>27</v>
      </c>
      <c r="Q7" s="74">
        <v>11</v>
      </c>
      <c r="R7" s="115" t="s">
        <v>54</v>
      </c>
      <c r="S7" s="74" t="s">
        <v>47</v>
      </c>
      <c r="T7" s="88">
        <v>43739</v>
      </c>
      <c r="U7" s="77" t="s">
        <v>55</v>
      </c>
    </row>
    <row r="8" spans="1:22" ht="13">
      <c r="A8" s="58" t="s">
        <v>56</v>
      </c>
      <c r="B8" s="60">
        <v>505</v>
      </c>
      <c r="C8" s="62">
        <v>14</v>
      </c>
      <c r="D8" s="64">
        <v>2.8</v>
      </c>
      <c r="E8" s="65">
        <v>86</v>
      </c>
      <c r="F8" s="67">
        <v>98</v>
      </c>
      <c r="G8" s="74" t="s">
        <v>36</v>
      </c>
      <c r="H8" s="72" t="s">
        <v>26</v>
      </c>
      <c r="I8" s="74">
        <v>0.12</v>
      </c>
      <c r="J8" s="76">
        <v>799</v>
      </c>
      <c r="K8" s="79" t="str">
        <f>HYPERLINK("https://amzn.to/2SX2HUi","link*")</f>
        <v>link*</v>
      </c>
      <c r="L8" s="79" t="str">
        <f>HYPERLINK("https://www.bhphotovideo.com/c/product/1352863-REG/samyang_syio14af_e_14mm_f_2_8_f_f_wide.html/BI/19619/KBID/12129/DFF/d10-v21-t1-x837928/SID/EZ","link*")</f>
        <v>link*</v>
      </c>
      <c r="M8" s="79" t="str">
        <f>HYPERLINK("https://amzn.to/31hwSIL","link*")</f>
        <v>link*</v>
      </c>
      <c r="N8" s="79"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8" s="84">
        <v>20</v>
      </c>
      <c r="P8" s="70" t="s">
        <v>27</v>
      </c>
      <c r="Q8" s="74">
        <v>7</v>
      </c>
      <c r="R8" s="112">
        <v>43752</v>
      </c>
      <c r="S8" s="74" t="s">
        <v>38</v>
      </c>
      <c r="T8" s="88">
        <v>43221</v>
      </c>
    </row>
    <row r="9" spans="1:22" ht="13">
      <c r="A9" s="126" t="str">
        <f>HYPERLINK("https://phillipreeve.net/blog/review-voigtlander-15mm-4-5-e-super-wide-heliar/","Voigtlander 15mm F4.5 Super Wide Heliar")</f>
        <v>Voigtlander 15mm F4.5 Super Wide Heliar</v>
      </c>
      <c r="B9" s="60">
        <v>298</v>
      </c>
      <c r="C9" s="62">
        <v>15</v>
      </c>
      <c r="D9" s="64">
        <v>4.5</v>
      </c>
      <c r="E9" s="248">
        <v>67</v>
      </c>
      <c r="F9" s="246">
        <v>62</v>
      </c>
      <c r="G9" s="70" t="s">
        <v>25</v>
      </c>
      <c r="H9" s="72" t="s">
        <v>71</v>
      </c>
      <c r="I9" s="74">
        <v>8.3000000000000004E-2</v>
      </c>
      <c r="J9" s="76">
        <v>799</v>
      </c>
      <c r="K9" s="79" t="str">
        <f>HYPERLINK("https://amzn.to/2YwplrQ","link*")</f>
        <v>link*</v>
      </c>
      <c r="L9" s="79" t="str">
        <f>HYPERLINK("https://www.bhphotovideo.com/c/product/1219549-REG/voigtlander_ba329b_super_wide_heliar_15mm_f_4_5.html/BI/19619/KBID/12129/DFF/d10-v21-t1-x618202/SID/EZ","link*")</f>
        <v>link*</v>
      </c>
      <c r="M9" s="79" t="str">
        <f>HYPERLINK("https://amzn.to/2ZpTKt5","link*")</f>
        <v>link*</v>
      </c>
      <c r="N9" s="79"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O9" s="84">
        <v>30</v>
      </c>
      <c r="P9" s="70" t="s">
        <v>27</v>
      </c>
      <c r="Q9" s="74">
        <v>10</v>
      </c>
      <c r="R9" s="136" t="s">
        <v>43</v>
      </c>
      <c r="S9" s="74" t="s">
        <v>29</v>
      </c>
      <c r="T9" s="88">
        <v>42401</v>
      </c>
    </row>
    <row r="10" spans="1:22" ht="13" hidden="1">
      <c r="A10" s="126" t="str">
        <f>HYPERLINK("https://phillipreeve.net/blog/sony-fe-16-35mm-f4-za-t-review/","Sony ZA 4/16-35 OSS ")</f>
        <v xml:space="preserve">Sony ZA 4/16-35 OSS </v>
      </c>
      <c r="B10" s="60">
        <v>523</v>
      </c>
      <c r="C10" s="62">
        <v>16</v>
      </c>
      <c r="D10" s="64">
        <v>4</v>
      </c>
      <c r="E10" s="65">
        <v>78</v>
      </c>
      <c r="F10" s="67">
        <v>98</v>
      </c>
      <c r="G10" s="70" t="s">
        <v>36</v>
      </c>
      <c r="H10" s="72" t="s">
        <v>64</v>
      </c>
      <c r="I10" s="74">
        <v>0.19</v>
      </c>
      <c r="J10" s="76">
        <v>1349</v>
      </c>
      <c r="K10" s="79" t="str">
        <f>HYPERLINK("http://amzn.to/2v2sY7q","link*")</f>
        <v>link*</v>
      </c>
      <c r="L10" s="79" t="str">
        <f>HYPERLINK("https://www.bhphotovideo.com/c/product/1380866-REG/sony_16_35mm_f_4_vario_tsr.html/BI/19619/KBID/12129/kw/SO16354F/DFF/d10-v2-t1-xSO16354F","link*")</f>
        <v>link*</v>
      </c>
      <c r="M10" s="79" t="str">
        <f>HYPERLINK("http://amzn.to/2wyMLuP","link*")</f>
        <v>link*</v>
      </c>
      <c r="N10" s="7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10" s="84">
        <v>28</v>
      </c>
      <c r="P10" s="134" t="s">
        <v>66</v>
      </c>
      <c r="Q10" s="74">
        <v>7</v>
      </c>
      <c r="R10" s="136" t="s">
        <v>43</v>
      </c>
      <c r="S10" s="74" t="s">
        <v>41</v>
      </c>
      <c r="T10" s="88">
        <v>41883</v>
      </c>
    </row>
    <row r="11" spans="1:22" ht="13" hidden="1">
      <c r="A11" s="58" t="s">
        <v>67</v>
      </c>
      <c r="B11" s="60">
        <v>680</v>
      </c>
      <c r="C11" s="62">
        <v>16</v>
      </c>
      <c r="D11" s="64">
        <v>2.8</v>
      </c>
      <c r="E11" s="65">
        <v>89</v>
      </c>
      <c r="F11" s="67">
        <v>122</v>
      </c>
      <c r="G11" s="70" t="s">
        <v>36</v>
      </c>
      <c r="H11" s="72" t="s">
        <v>68</v>
      </c>
      <c r="I11" s="74">
        <v>0.19</v>
      </c>
      <c r="J11" s="76">
        <v>2199</v>
      </c>
      <c r="K11" s="79" t="str">
        <f>HYPERLINK("https://amzn.to/2SR0IRl","link*")</f>
        <v>link*</v>
      </c>
      <c r="L11" s="79" t="str">
        <f>HYPERLINK("https://www.bhphotovideo.com/c/product/1338516-REG/sony_sel1635gm_fe_16_35mm_f_2_8_gm.html/BI/19619/KBID/12129/DFF/d10-v21-t1-x822837/SID/EZ","link*")</f>
        <v>link*</v>
      </c>
      <c r="M11" s="79" t="str">
        <f>HYPERLINK("https://amzn.to/2T1ZxOU","link*")</f>
        <v>link*</v>
      </c>
      <c r="N11" s="79"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11" s="84">
        <v>28</v>
      </c>
      <c r="P11" s="70" t="s">
        <v>27</v>
      </c>
      <c r="Q11" s="74">
        <v>11</v>
      </c>
      <c r="R11" s="136" t="s">
        <v>72</v>
      </c>
      <c r="S11" s="74" t="s">
        <v>41</v>
      </c>
      <c r="T11" s="88">
        <v>42856</v>
      </c>
    </row>
    <row r="12" spans="1:22" ht="13">
      <c r="A12" s="126" t="str">
        <f>HYPERLINK("https://phillipreeve.net/blog/review-tamron-17-28mm-f-2-8-di-iii-rxd/","Tamron 17-28mm f/2.8 Di III RXD")</f>
        <v>Tamron 17-28mm f/2.8 Di III RXD</v>
      </c>
      <c r="B12" s="60">
        <v>420</v>
      </c>
      <c r="C12" s="62">
        <v>17</v>
      </c>
      <c r="D12" s="64">
        <v>2.8</v>
      </c>
      <c r="E12" s="152">
        <v>73</v>
      </c>
      <c r="F12" s="67">
        <v>99</v>
      </c>
      <c r="G12" s="70" t="s">
        <v>36</v>
      </c>
      <c r="H12" s="72" t="s">
        <v>73</v>
      </c>
      <c r="I12" s="74">
        <v>0.19</v>
      </c>
      <c r="J12" s="156">
        <v>899</v>
      </c>
      <c r="K12" s="79" t="str">
        <f>HYPERLINK("https://amzn.to/2Hv3AyB","link*")</f>
        <v>link*</v>
      </c>
      <c r="L12" s="79" t="str">
        <f>HYPERLINK("https://www.bhphotovideo.com/c/product/1461529-REG/tamron_a046_17_28mm_f_2_8_di_iii.html/BI/19619/KBID/12129/DFF/d10-v21-t1-x946694/SID/EZ","link*")</f>
        <v>link*</v>
      </c>
      <c r="M12" s="79" t="str">
        <f>HYPERLINK("https://amzn.to/2YkrkQB","link*")</f>
        <v>link*</v>
      </c>
      <c r="N12" s="79"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12" s="84">
        <v>19</v>
      </c>
      <c r="P12" s="70" t="s">
        <v>27</v>
      </c>
      <c r="Q12" s="74">
        <v>9</v>
      </c>
      <c r="R12" s="136" t="s">
        <v>77</v>
      </c>
      <c r="S12" s="74" t="s">
        <v>78</v>
      </c>
      <c r="T12" s="88">
        <v>43647</v>
      </c>
      <c r="V12" s="160"/>
    </row>
    <row r="13" spans="1:22" ht="13" hidden="1">
      <c r="A13" s="126" t="str">
        <f>HYPERLINK("https://phillipreeve.net/blog/review-zeiss-batis-18mm-2-8/","Zeiss Batis 2.8/18")</f>
        <v>Zeiss Batis 2.8/18</v>
      </c>
      <c r="B13" s="60">
        <v>330</v>
      </c>
      <c r="C13" s="62">
        <v>18</v>
      </c>
      <c r="D13" s="64">
        <v>2.8</v>
      </c>
      <c r="E13" s="65">
        <v>100</v>
      </c>
      <c r="F13" s="67">
        <v>80</v>
      </c>
      <c r="G13" s="70" t="s">
        <v>36</v>
      </c>
      <c r="H13" s="72" t="s">
        <v>80</v>
      </c>
      <c r="I13" s="74">
        <v>0.1</v>
      </c>
      <c r="J13" s="76">
        <v>1499</v>
      </c>
      <c r="K13" s="79" t="str">
        <f>HYPERLINK("https://amzn.to/2SRFBhL","link*")</f>
        <v>link*</v>
      </c>
      <c r="L13" s="79" t="str">
        <f>HYPERLINK("https://www.bhphotovideo.com/c/product/1243591-REG/zeiss_2136_691_batis_18mm_f_2_8_lens.html/BI/19619/KBID/12129/DFF/d10-v21-t1-x727488/SID/EZ","link*")</f>
        <v>link*</v>
      </c>
      <c r="M13" s="79" t="str">
        <f>HYPERLINK("https://amzn.to/334PqNT","link*")</f>
        <v>link*</v>
      </c>
      <c r="N13" s="7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13" s="84">
        <v>25</v>
      </c>
      <c r="P13" s="70" t="s">
        <v>27</v>
      </c>
      <c r="Q13" s="74">
        <v>9</v>
      </c>
      <c r="R13" s="136" t="s">
        <v>86</v>
      </c>
      <c r="S13" s="74" t="s">
        <v>87</v>
      </c>
      <c r="T13" s="88">
        <v>42491</v>
      </c>
    </row>
    <row r="14" spans="1:22" ht="13">
      <c r="A14" s="163" t="s">
        <v>88</v>
      </c>
      <c r="B14" s="60">
        <v>145</v>
      </c>
      <c r="C14" s="62">
        <v>18</v>
      </c>
      <c r="D14" s="64">
        <v>2.8</v>
      </c>
      <c r="E14" s="65">
        <v>63.5</v>
      </c>
      <c r="F14" s="67">
        <v>60.5</v>
      </c>
      <c r="G14" s="70" t="s">
        <v>36</v>
      </c>
      <c r="H14" s="72" t="s">
        <v>71</v>
      </c>
      <c r="I14" s="74">
        <v>0.09</v>
      </c>
      <c r="J14" s="76">
        <v>399</v>
      </c>
      <c r="K14" s="121"/>
      <c r="L14" s="79" t="str">
        <f>HYPERLINK("https://www.bhphotovideo.com/c/product/1503295-REG/samyang_syio18af_e_af_18mm_f_2_8_fe.html/BI/19619/KBID/12129/DFF/d10-v21-t1-x985623/SID/EZ","link*")</f>
        <v>link*</v>
      </c>
      <c r="M14" s="121"/>
      <c r="N14" s="121"/>
      <c r="O14" s="84">
        <v>25</v>
      </c>
      <c r="P14" s="70" t="s">
        <v>27</v>
      </c>
      <c r="Q14" s="74">
        <v>7</v>
      </c>
      <c r="R14" s="136" t="s">
        <v>91</v>
      </c>
      <c r="S14" s="74" t="s">
        <v>38</v>
      </c>
      <c r="T14" s="88">
        <v>43723</v>
      </c>
    </row>
    <row r="15" spans="1:22" ht="15.75" customHeight="1">
      <c r="A15" s="58" t="s">
        <v>92</v>
      </c>
      <c r="B15" s="60">
        <v>950</v>
      </c>
      <c r="C15" s="62">
        <v>20</v>
      </c>
      <c r="D15" s="165">
        <v>1.4</v>
      </c>
      <c r="E15" s="65">
        <v>91</v>
      </c>
      <c r="F15" s="67">
        <v>130</v>
      </c>
      <c r="G15" s="74" t="s">
        <v>36</v>
      </c>
      <c r="H15" s="72" t="s">
        <v>26</v>
      </c>
      <c r="I15" s="74">
        <v>0.14000000000000001</v>
      </c>
      <c r="J15" s="76">
        <v>899</v>
      </c>
      <c r="K15" s="79" t="str">
        <f>HYPERLINK("https://amzn.to/2K4J7nh","link*")</f>
        <v>link*</v>
      </c>
      <c r="L15" s="79" t="str">
        <f>HYPERLINK("https://amzn.to/31hxv55","link*")</f>
        <v>link*</v>
      </c>
      <c r="M15" s="79" t="str">
        <f>HYPERLINK("https://amzn.to/2Wy0d3F","link*")</f>
        <v>link*</v>
      </c>
      <c r="N15" s="79"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O15" s="84">
        <v>28</v>
      </c>
      <c r="P15" s="70" t="s">
        <v>27</v>
      </c>
      <c r="Q15" s="74">
        <v>9</v>
      </c>
      <c r="R15" s="112">
        <v>43784</v>
      </c>
      <c r="S15" s="74" t="s">
        <v>47</v>
      </c>
      <c r="T15" s="88">
        <v>43221</v>
      </c>
      <c r="U15" s="77" t="s">
        <v>48</v>
      </c>
    </row>
    <row r="16" spans="1:22" ht="13">
      <c r="A16" s="58" t="s">
        <v>104</v>
      </c>
      <c r="B16" s="60">
        <v>775</v>
      </c>
      <c r="C16" s="62">
        <v>20</v>
      </c>
      <c r="D16" s="100">
        <v>1.8</v>
      </c>
      <c r="E16" s="65">
        <v>77</v>
      </c>
      <c r="F16" s="67">
        <v>102</v>
      </c>
      <c r="G16" s="74" t="s">
        <v>25</v>
      </c>
      <c r="H16" s="72" t="s">
        <v>68</v>
      </c>
      <c r="I16" s="74">
        <v>0.12</v>
      </c>
      <c r="J16" s="76">
        <v>486</v>
      </c>
      <c r="K16" s="79" t="str">
        <f>HYPERLINK("https://amzn.to/2LRRbJ5","link*")</f>
        <v>link*</v>
      </c>
      <c r="L16" s="79" t="str">
        <f>HYPERLINK("https://www.bhphotovideo.com/c/product/1469187-REG/viltrox_pfu_rbmh_20mm_f1_8_asph_e_mount_20mm_f_1_8_for_sony.html/BI/19619/KBID/12129/DFF/d10-v21-t1-x954299/SID/EZ","link*")</f>
        <v>link*</v>
      </c>
      <c r="M16" s="79" t="str">
        <f>HYPERLINK("https://amzn.to/2GL8iYV","link*")</f>
        <v>link*</v>
      </c>
      <c r="N16" s="79"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O16" s="84">
        <v>25</v>
      </c>
      <c r="P16" s="70" t="s">
        <v>27</v>
      </c>
      <c r="Q16" s="74">
        <v>14</v>
      </c>
      <c r="R16" s="112">
        <v>43720</v>
      </c>
      <c r="S16" s="74" t="s">
        <v>106</v>
      </c>
      <c r="T16" s="88">
        <v>43586</v>
      </c>
    </row>
    <row r="17" spans="1:21" ht="13">
      <c r="A17" s="126" t="str">
        <f>HYPERLINK("https://phillipreeve.net/blog/tokina-firin-20mm-f2-fe-review-a-good-deal/","Tokina Firin 2/20")</f>
        <v>Tokina Firin 2/20</v>
      </c>
      <c r="B17" s="60">
        <v>492</v>
      </c>
      <c r="C17" s="62">
        <v>20</v>
      </c>
      <c r="D17" s="173">
        <v>2</v>
      </c>
      <c r="E17" s="187">
        <v>69</v>
      </c>
      <c r="F17" s="188">
        <v>82</v>
      </c>
      <c r="G17" s="70" t="s">
        <v>25</v>
      </c>
      <c r="H17" s="72" t="s">
        <v>101</v>
      </c>
      <c r="I17" s="74">
        <v>0.1</v>
      </c>
      <c r="J17" s="184">
        <v>799</v>
      </c>
      <c r="K17" s="79" t="str">
        <f>HYPERLINK("http://amzn.to/2vlG2Yq","link*")</f>
        <v>link*</v>
      </c>
      <c r="L17" s="79" t="str">
        <f>HYPERLINK("https://www.bhphotovideo.com/c/product/1281299-REG/tokina_firin_20mm_f_2_fe.html/BI/19619/KBID/12129/kw/TO202E/DFF/d10-v2-t1-xTO202E","link*")</f>
        <v>link*</v>
      </c>
      <c r="M17" s="79" t="str">
        <f>HYPERLINK("http://amzn.to/2vvtDkM","link*")</f>
        <v>link*</v>
      </c>
      <c r="N17" s="79"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c r="O17" s="84">
        <v>30</v>
      </c>
      <c r="P17" s="70" t="s">
        <v>27</v>
      </c>
      <c r="Q17" s="74">
        <v>9</v>
      </c>
      <c r="R17" s="136" t="s">
        <v>77</v>
      </c>
      <c r="S17" s="74" t="s">
        <v>103</v>
      </c>
      <c r="T17" s="88">
        <v>42856</v>
      </c>
    </row>
    <row r="18" spans="1:21" ht="13">
      <c r="A18" s="58" t="s">
        <v>97</v>
      </c>
      <c r="B18" s="60">
        <v>464</v>
      </c>
      <c r="C18" s="62">
        <v>20</v>
      </c>
      <c r="D18" s="173">
        <v>2</v>
      </c>
      <c r="E18" s="175">
        <v>73</v>
      </c>
      <c r="F18" s="176">
        <v>82</v>
      </c>
      <c r="G18" s="70" t="s">
        <v>36</v>
      </c>
      <c r="H18" s="72" t="s">
        <v>101</v>
      </c>
      <c r="I18" s="74">
        <v>0.1</v>
      </c>
      <c r="J18" s="76">
        <v>949</v>
      </c>
      <c r="K18" s="79" t="str">
        <f>HYPERLINK("https://amzn.to/2GDurZb","link*")</f>
        <v>link*</v>
      </c>
      <c r="L18" s="79" t="str">
        <f>HYPERLINK("https://www.bhphotovideo.com/c/product/1393327-REG/tokina_firin_20mm_f_2_fe.html/BI/19619/KBID/12129/DFF/d10-v21-t1-x880327/SID/EZ","link*")</f>
        <v>link*</v>
      </c>
      <c r="M18" s="79" t="str">
        <f>HYPERLINK("https://amzn.to/2GJYCxw","link*")</f>
        <v>link*</v>
      </c>
      <c r="N18" s="79"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18" s="84">
        <v>30</v>
      </c>
      <c r="P18" s="70" t="s">
        <v>27</v>
      </c>
      <c r="Q18" s="74">
        <v>9</v>
      </c>
      <c r="R18" s="136" t="s">
        <v>77</v>
      </c>
      <c r="S18" s="74" t="s">
        <v>103</v>
      </c>
      <c r="T18" s="88">
        <v>43221</v>
      </c>
    </row>
    <row r="19" spans="1:21" ht="13" hidden="1">
      <c r="A19" s="126" t="str">
        <f>HYPERLINK("https://phillipreeve.net/blog/review_voigtlander_21mm_f14_e/","Voigtlander 21mm F1.4 Nokton")</f>
        <v>Voigtlander 21mm F1.4 Nokton</v>
      </c>
      <c r="B19" s="60">
        <v>540</v>
      </c>
      <c r="C19" s="62">
        <v>21</v>
      </c>
      <c r="D19" s="192">
        <v>1.4</v>
      </c>
      <c r="E19" s="194">
        <v>70</v>
      </c>
      <c r="F19" s="195">
        <v>80</v>
      </c>
      <c r="G19" s="70" t="s">
        <v>25</v>
      </c>
      <c r="H19" s="72" t="s">
        <v>101</v>
      </c>
      <c r="I19" s="74"/>
      <c r="J19" s="76">
        <v>1199</v>
      </c>
      <c r="K19" s="79" t="str">
        <f>HYPERLINK("https://amzn.to/2K7gHrC","link*")</f>
        <v>link*</v>
      </c>
      <c r="L19" s="79" t="str">
        <f>HYPERLINK("https://www.bhphotovideo.com/c/product/1480269-REG/voigtlander_ba352a_nokton_21mm_f_1_4_aspherical.html/BI/19619/KBID/12129/DFF/d10-v21-t1-x963269/SID/EZ","link*")</f>
        <v>link*</v>
      </c>
      <c r="M19" s="113"/>
      <c r="N19" s="79"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c r="O19" s="84">
        <v>25</v>
      </c>
      <c r="P19" s="70" t="s">
        <v>27</v>
      </c>
      <c r="Q19" s="74">
        <v>12</v>
      </c>
      <c r="R19" s="136" t="s">
        <v>77</v>
      </c>
      <c r="S19" s="74" t="s">
        <v>29</v>
      </c>
      <c r="T19" s="88">
        <v>43617</v>
      </c>
    </row>
    <row r="20" spans="1:21" ht="13" hidden="1">
      <c r="A20" s="126" t="str">
        <f>HYPERLINK("https://phillipreeve.net/blog/rolling-review-zeiss-loxia-distagon-2-821mm-t/https://phillipreeve.net/blog/rolling-review-zeiss-loxia-distagon-2-821mm-t/","Zeiss Loxia 2.8/21 Distagon T*")</f>
        <v>Zeiss Loxia 2.8/21 Distagon T*</v>
      </c>
      <c r="B20" s="60">
        <v>394</v>
      </c>
      <c r="C20" s="62">
        <v>21</v>
      </c>
      <c r="D20" s="64">
        <v>2.8</v>
      </c>
      <c r="E20" s="194">
        <v>62</v>
      </c>
      <c r="F20" s="195">
        <v>72</v>
      </c>
      <c r="G20" s="70" t="s">
        <v>25</v>
      </c>
      <c r="H20" s="72" t="s">
        <v>131</v>
      </c>
      <c r="I20" s="74">
        <v>0.13</v>
      </c>
      <c r="J20" s="76">
        <v>1499</v>
      </c>
      <c r="K20" s="79" t="str">
        <f>HYPERLINK("https://amzn.to/2yspzBm","link*")</f>
        <v>link*</v>
      </c>
      <c r="L20" s="79" t="str">
        <f>HYPERLINK("https://www.bhphotovideo.com/c/product/1189220-REG/zeiss_2131_999_loxia_21mm_f_2_8_lens.html/BI/19619/KBID/12129/DFF/d10-v21-t1-x677077/SID/EZ","link*")</f>
        <v>link*</v>
      </c>
      <c r="M20" s="79" t="str">
        <f>HYPERLINK("https://amzn.to/2GHSOoA","link*")</f>
        <v>link*</v>
      </c>
      <c r="N20" s="79"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c r="O20" s="84">
        <v>25</v>
      </c>
      <c r="P20" s="70" t="s">
        <v>27</v>
      </c>
      <c r="Q20" s="74">
        <v>10</v>
      </c>
      <c r="R20" s="136" t="s">
        <v>132</v>
      </c>
      <c r="S20" s="74" t="s">
        <v>87</v>
      </c>
      <c r="T20" s="88">
        <v>42339</v>
      </c>
    </row>
    <row r="21" spans="1:21" ht="13">
      <c r="A21" s="126" t="str">
        <f>HYPERLINK("https://phillipreeve.net/blog/voigtlander-21mm-f35-review/","Voigtlander 21mm F3.5 Color-Skopar")</f>
        <v>Voigtlander 21mm F3.5 Color-Skopar</v>
      </c>
      <c r="B21" s="60">
        <v>230</v>
      </c>
      <c r="C21" s="62">
        <v>21</v>
      </c>
      <c r="D21" s="64">
        <v>3.5</v>
      </c>
      <c r="E21" s="194">
        <v>63</v>
      </c>
      <c r="F21" s="176">
        <v>40</v>
      </c>
      <c r="G21" s="70" t="s">
        <v>25</v>
      </c>
      <c r="H21" s="72" t="s">
        <v>131</v>
      </c>
      <c r="I21" s="125"/>
      <c r="J21" s="76">
        <v>699</v>
      </c>
      <c r="K21" s="79" t="str">
        <f>HYPERLINK("https://amzn.to/2JCie75","link*")</f>
        <v>link*</v>
      </c>
      <c r="L21" s="79" t="str">
        <f>HYPERLINK("https://www.bhphotovideo.com/c/product/1437613-REG/voigtlander_color_skopar_21mm_f_3_5_aspherical.html/BI/19619/KBID/12129/kw/VO2135E/DFF/d10-v2-t1-xVO2135E","link*")</f>
        <v>link*</v>
      </c>
      <c r="M21" s="79" t="str">
        <f>HYPERLINK("https://amzn.to/2ZoERan","link*")</f>
        <v>link*</v>
      </c>
      <c r="N21" s="79"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O21" s="84">
        <v>20</v>
      </c>
      <c r="P21" s="70" t="s">
        <v>27</v>
      </c>
      <c r="Q21" s="74">
        <v>10</v>
      </c>
      <c r="R21" s="136" t="s">
        <v>91</v>
      </c>
      <c r="S21" s="74" t="s">
        <v>29</v>
      </c>
      <c r="T21" s="88">
        <v>43374</v>
      </c>
    </row>
    <row r="22" spans="1:21" ht="13" hidden="1">
      <c r="A22" s="126" t="str">
        <f>HYPERLINK("https://phillipreeve.net/blog/review-sony-fe-24mm-1-4-gm/","Sony GM 1.4/24")</f>
        <v>Sony GM 1.4/24</v>
      </c>
      <c r="B22" s="60">
        <v>445</v>
      </c>
      <c r="C22" s="62">
        <v>24</v>
      </c>
      <c r="D22" s="192">
        <v>1.4</v>
      </c>
      <c r="E22" s="194">
        <v>75</v>
      </c>
      <c r="F22" s="195">
        <v>92</v>
      </c>
      <c r="G22" s="70" t="s">
        <v>36</v>
      </c>
      <c r="H22" s="72" t="s">
        <v>73</v>
      </c>
      <c r="I22" s="74">
        <v>0.17</v>
      </c>
      <c r="J22" s="76">
        <v>1399</v>
      </c>
      <c r="K22" s="79" t="str">
        <f>HYPERLINK("https://amzn.to/2ywcbw1","link*")</f>
        <v>link*</v>
      </c>
      <c r="L22" s="79" t="str">
        <f>HYPERLINK("https://www.bhphotovideo.com/c/product/1435887-REG/sony_fe_24mm_f_1_4_gm.html/BI/19619/KBID/12129/DFF/d10-v21-t1-x915647/SID/EZ","link*")</f>
        <v>link*</v>
      </c>
      <c r="M22" s="79" t="str">
        <f>HYPERLINK("https://amzn.to/2L2tV9y","link*")</f>
        <v>link*</v>
      </c>
      <c r="N22" s="79" t="str">
        <f>HYPERLINK("https://amzn.to/338yg28","link*")</f>
        <v>link*</v>
      </c>
      <c r="O22" s="84">
        <v>25</v>
      </c>
      <c r="P22" s="70" t="s">
        <v>27</v>
      </c>
      <c r="Q22" s="74">
        <v>11</v>
      </c>
      <c r="R22" s="136" t="s">
        <v>28</v>
      </c>
      <c r="S22" s="74" t="s">
        <v>41</v>
      </c>
      <c r="T22" s="88">
        <v>43374</v>
      </c>
    </row>
    <row r="23" spans="1:21" ht="13">
      <c r="A23" s="58" t="s">
        <v>121</v>
      </c>
      <c r="B23" s="60">
        <v>665</v>
      </c>
      <c r="C23" s="62">
        <v>24</v>
      </c>
      <c r="D23" s="192">
        <v>1.4</v>
      </c>
      <c r="E23" s="194">
        <v>85</v>
      </c>
      <c r="F23" s="195">
        <v>90</v>
      </c>
      <c r="G23" s="74" t="s">
        <v>36</v>
      </c>
      <c r="H23" s="72" t="s">
        <v>80</v>
      </c>
      <c r="I23" s="74">
        <v>0.19</v>
      </c>
      <c r="J23" s="76">
        <v>849</v>
      </c>
      <c r="K23" s="79" t="str">
        <f>HYPERLINK("https://amzn.to/2Isw2Rv","link*")</f>
        <v>link*</v>
      </c>
      <c r="L23" s="79" t="str">
        <f>HYPERLINK("https://www.bhphotovideo.com/c/product/1393491-REG/sigma_24mm_f_1_4_dg_hsm.html/BI/19619/KBID/12129/kw/SI2414SO/DFF/d10-v2-t1-xSI2414SO","link*")</f>
        <v>link*</v>
      </c>
      <c r="M23" s="79" t="str">
        <f>HYPERLINK("https://amzn.to/2K7sIP4","link*")</f>
        <v>link*</v>
      </c>
      <c r="N23" s="79"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O23" s="84">
        <v>25</v>
      </c>
      <c r="P23" s="70" t="s">
        <v>27</v>
      </c>
      <c r="Q23" s="74">
        <v>9</v>
      </c>
      <c r="R23" s="112">
        <v>43784</v>
      </c>
      <c r="S23" s="74" t="s">
        <v>47</v>
      </c>
      <c r="T23" s="88">
        <v>43221</v>
      </c>
      <c r="U23" s="77" t="s">
        <v>48</v>
      </c>
    </row>
    <row r="24" spans="1:21" ht="13">
      <c r="A24" s="126" t="str">
        <f>HYPERLINK("https://phillipreeve.net/blog/review-samyang-af-2-4-28-fe-at-least-its-small/","Samyang AF 24mm F/2.8")</f>
        <v>Samyang AF 24mm F/2.8</v>
      </c>
      <c r="B24" s="60">
        <v>93</v>
      </c>
      <c r="C24" s="62">
        <v>24</v>
      </c>
      <c r="D24" s="64">
        <v>2.8</v>
      </c>
      <c r="E24" s="194">
        <v>61</v>
      </c>
      <c r="F24" s="176">
        <v>37</v>
      </c>
      <c r="G24" s="70" t="s">
        <v>36</v>
      </c>
      <c r="H24" s="72" t="s">
        <v>124</v>
      </c>
      <c r="I24" s="74">
        <v>0.15</v>
      </c>
      <c r="J24" s="184">
        <v>279</v>
      </c>
      <c r="K24" s="79" t="str">
        <f>HYPERLINK("https://amzn.to/2NEHZ7c","link*")</f>
        <v>link*</v>
      </c>
      <c r="L24" s="79" t="str">
        <f>HYPERLINK("https://www.bhphotovideo.com/c/product/1413350-REG/samyang_syio24af_e_af_24mm_f_2_8_fe.html/BI/19619/KBID/12129/kw/SASYIO24AFE/DFF/d10-v2-t1-xSASYIO24AFE","link*")</f>
        <v>link*</v>
      </c>
      <c r="M24" s="79" t="str">
        <f>HYPERLINK("https://amzn.to/2Onv1QE","link*")</f>
        <v>link*</v>
      </c>
      <c r="N24"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24" s="84">
        <v>20</v>
      </c>
      <c r="P24" s="70" t="s">
        <v>27</v>
      </c>
      <c r="Q24" s="74">
        <v>9</v>
      </c>
      <c r="R24" s="136" t="s">
        <v>127</v>
      </c>
      <c r="S24" s="74" t="s">
        <v>38</v>
      </c>
      <c r="T24" s="88">
        <v>43282</v>
      </c>
    </row>
    <row r="25" spans="1:21" ht="13" hidden="1">
      <c r="A25" s="196" t="str">
        <f>HYPERLINK("https://phillipreeve.net/blog/review-sony-fe-2-824-70mm-gm/","Sony GM 2.8/24-70")</f>
        <v>Sony GM 2.8/24-70</v>
      </c>
      <c r="B25" s="60">
        <v>886</v>
      </c>
      <c r="C25" s="62">
        <v>24</v>
      </c>
      <c r="D25" s="64">
        <v>2.8</v>
      </c>
      <c r="E25" s="194">
        <v>88</v>
      </c>
      <c r="F25" s="176">
        <v>136</v>
      </c>
      <c r="G25" s="70" t="s">
        <v>36</v>
      </c>
      <c r="H25" s="72" t="s">
        <v>68</v>
      </c>
      <c r="I25" s="201">
        <v>0.25</v>
      </c>
      <c r="J25" s="76">
        <v>2199</v>
      </c>
      <c r="K25" s="79" t="str">
        <f>HYPERLINK("https://amzn.to/2STHavK","link*")</f>
        <v>link*</v>
      </c>
      <c r="L25" s="79" t="str">
        <f>HYPERLINK("https://www.bhphotovideo.com/c/search?Ntt=gm%2024-70&amp;N=0&amp;InitialSearch=yes&amp;sts=ma&amp;Top+Nav-Search=&amp;BI=19619&amp;KBID=12129&amp;KWID=EZ","link*")</f>
        <v>link*</v>
      </c>
      <c r="M25" s="79" t="str">
        <f>HYPERLINK("https://amzn.to/2ZwoyU7","link*")</f>
        <v>link*</v>
      </c>
      <c r="N25"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25" s="84">
        <v>38</v>
      </c>
      <c r="P25" s="70" t="s">
        <v>27</v>
      </c>
      <c r="Q25" s="74">
        <v>11</v>
      </c>
      <c r="R25" s="136" t="s">
        <v>54</v>
      </c>
      <c r="S25" s="74" t="s">
        <v>41</v>
      </c>
      <c r="T25" s="88">
        <v>42401</v>
      </c>
    </row>
    <row r="26" spans="1:21" ht="13">
      <c r="A26" s="58" t="s">
        <v>129</v>
      </c>
      <c r="B26" s="60">
        <v>780</v>
      </c>
      <c r="C26" s="62">
        <v>24</v>
      </c>
      <c r="D26" s="64" t="s">
        <v>130</v>
      </c>
      <c r="E26" s="194">
        <v>80</v>
      </c>
      <c r="F26" s="176">
        <v>119</v>
      </c>
      <c r="G26" s="70" t="s">
        <v>36</v>
      </c>
      <c r="H26" s="72" t="s">
        <v>64</v>
      </c>
      <c r="I26" s="201">
        <v>0.27</v>
      </c>
      <c r="J26" s="76">
        <v>998</v>
      </c>
      <c r="K26" s="79" t="str">
        <f>HYPERLINK("http://amzn.to/2fbX5FU","link*")</f>
        <v>link*</v>
      </c>
      <c r="L26" s="79" t="str">
        <f>HYPERLINK("https://www.bhphotovideo.com/c/search?Ntt=sony%2024-240&amp;N=0&amp;InitialSearch=yes&amp;sts=ma&amp;Top+Nav-Search=&amp;BI=19619&amp;KBID=12129&amp;KWID=EZ","link*")</f>
        <v>link*</v>
      </c>
      <c r="M26" s="79" t="str">
        <f>HYPERLINK("http://amzn.to/2wyrL7A","link*")</f>
        <v>link*</v>
      </c>
      <c r="N26"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26" s="84">
        <v>50</v>
      </c>
      <c r="P26" s="134" t="s">
        <v>66</v>
      </c>
      <c r="Q26" s="74">
        <v>7</v>
      </c>
      <c r="R26" s="136" t="s">
        <v>133</v>
      </c>
      <c r="S26" s="74" t="s">
        <v>41</v>
      </c>
      <c r="T26" s="88">
        <v>42064</v>
      </c>
    </row>
    <row r="27" spans="1:21" ht="13" hidden="1">
      <c r="A27" s="58" t="s">
        <v>134</v>
      </c>
      <c r="B27" s="60">
        <v>663</v>
      </c>
      <c r="C27" s="62">
        <v>24</v>
      </c>
      <c r="D27" s="64">
        <v>4</v>
      </c>
      <c r="E27" s="194">
        <v>83</v>
      </c>
      <c r="F27" s="195">
        <v>113</v>
      </c>
      <c r="G27" s="70" t="s">
        <v>36</v>
      </c>
      <c r="H27" s="72" t="s">
        <v>80</v>
      </c>
      <c r="I27" s="201">
        <v>0.31</v>
      </c>
      <c r="J27" s="76">
        <v>1398</v>
      </c>
      <c r="K27" s="79" t="str">
        <f>HYPERLINK("https://amzn.to/2K7LwMR","link*")</f>
        <v>link*</v>
      </c>
      <c r="L27" s="79" t="str">
        <f>HYPERLINK("https://www.bhphotovideo.com/c/search?Ntt=sony%2024-105&amp;N=0&amp;InitialSearch=yes&amp;sts=ma&amp;Top+Nav-Search=&amp;BI=19619&amp;KBID=12129&amp;KWID=EZ","link*")</f>
        <v>link*</v>
      </c>
      <c r="M27" s="79" t="str">
        <f>HYPERLINK("https://amzn.to/2Ld8hOS","link*")</f>
        <v>link*</v>
      </c>
      <c r="N27"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27" s="84">
        <v>38</v>
      </c>
      <c r="P27" s="134" t="s">
        <v>66</v>
      </c>
      <c r="Q27" s="74">
        <v>9</v>
      </c>
      <c r="R27" s="136" t="s">
        <v>135</v>
      </c>
      <c r="S27" s="74" t="s">
        <v>41</v>
      </c>
      <c r="T27" s="88">
        <v>43009</v>
      </c>
    </row>
    <row r="28" spans="1:21" ht="13">
      <c r="A28" s="126" t="str">
        <f>HYPERLINK("https://phillipreeve.net/blog/rolling-review-carl-zeiss-vario-tessar-t-fe-424-70-za/","Sony ZA 4/24-70 OSS")</f>
        <v>Sony ZA 4/24-70 OSS</v>
      </c>
      <c r="B28" s="60">
        <v>426</v>
      </c>
      <c r="C28" s="62">
        <v>24</v>
      </c>
      <c r="D28" s="64">
        <v>4</v>
      </c>
      <c r="E28" s="194">
        <v>73</v>
      </c>
      <c r="F28" s="195">
        <v>95</v>
      </c>
      <c r="G28" s="70" t="s">
        <v>36</v>
      </c>
      <c r="H28" s="72" t="s">
        <v>73</v>
      </c>
      <c r="I28" s="74">
        <v>0.2</v>
      </c>
      <c r="J28" s="76">
        <v>898</v>
      </c>
      <c r="K28" s="79" t="str">
        <f>HYPERLINK("http://amzn.to/2vlG2Yq","link*")</f>
        <v>link*</v>
      </c>
      <c r="L28" s="79" t="str">
        <f>HYPERLINK("https://www.bhphotovideo.com/c/product/1008126-REG/sony_sel2470z_vario_tessar_t_fe_24_70mm.html/BI/19619/KBID/12129/DFF/d10-v21-t1-x466842/SID/EZ","link*")</f>
        <v>link*</v>
      </c>
      <c r="M28" s="79" t="str">
        <f>HYPERLINK("http://amzn.to/2fl1XZk","link*")</f>
        <v>link*</v>
      </c>
      <c r="N28" s="79"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28" s="84">
        <v>40</v>
      </c>
      <c r="P28" s="134" t="s">
        <v>66</v>
      </c>
      <c r="Q28" s="74">
        <v>7</v>
      </c>
      <c r="R28" s="136" t="s">
        <v>43</v>
      </c>
      <c r="S28" s="74" t="s">
        <v>41</v>
      </c>
      <c r="T28" s="88">
        <v>41640</v>
      </c>
    </row>
    <row r="29" spans="1:21" ht="13" hidden="1">
      <c r="A29" s="126" t="str">
        <f>HYPERLINK("https://phillipreeve.net/blog/review-zeiss-batis-distagon-t-25mm-f2/","Zeiss Batis 2/25")</f>
        <v>Zeiss Batis 2/25</v>
      </c>
      <c r="B29" s="60">
        <v>335</v>
      </c>
      <c r="C29" s="62">
        <v>25</v>
      </c>
      <c r="D29" s="64">
        <v>2</v>
      </c>
      <c r="E29" s="194">
        <v>92</v>
      </c>
      <c r="F29" s="195">
        <v>78</v>
      </c>
      <c r="G29" s="70" t="s">
        <v>36</v>
      </c>
      <c r="H29" s="72" t="s">
        <v>73</v>
      </c>
      <c r="I29" s="74">
        <v>0.19</v>
      </c>
      <c r="J29" s="76">
        <v>1299</v>
      </c>
      <c r="K29" s="79" t="str">
        <f>HYPERLINK("https://amzn.to/2ypHQiT","link*")</f>
        <v>link*</v>
      </c>
      <c r="L29" s="79" t="str">
        <f>HYPERLINK("https://www.bhphotovideo.com/c/product/1140832-REG/zeiss_2103_750_25mm_f_2_0_batis_wide.html/BI/19619/KBID/12129/DFF/d10-v21-t1-x627141/SID/EZ","link*")</f>
        <v>link*</v>
      </c>
      <c r="M29" s="79" t="str">
        <f>HYPERLINK("https://amzn.to/2L20DIj","link*")</f>
        <v>link*</v>
      </c>
      <c r="N29" s="7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29" s="84">
        <v>20</v>
      </c>
      <c r="P29" s="70" t="s">
        <v>27</v>
      </c>
      <c r="Q29" s="74">
        <v>9</v>
      </c>
      <c r="R29" s="136" t="s">
        <v>140</v>
      </c>
      <c r="S29" s="74" t="s">
        <v>87</v>
      </c>
      <c r="T29" s="88">
        <v>42125</v>
      </c>
    </row>
    <row r="30" spans="1:21" ht="13" hidden="1">
      <c r="A30" s="126" t="str">
        <f>HYPERLINK("https://phillipreeve.net/blog/review-zeiss-loxia-2-4-25mm-distagon/","Zeiss Loxia 2.4/25")</f>
        <v>Zeiss Loxia 2.4/25</v>
      </c>
      <c r="B30" s="60">
        <v>393</v>
      </c>
      <c r="C30" s="62">
        <v>25</v>
      </c>
      <c r="D30" s="64">
        <v>2.4</v>
      </c>
      <c r="E30" s="194">
        <v>62</v>
      </c>
      <c r="F30" s="195">
        <v>75</v>
      </c>
      <c r="G30" s="70" t="s">
        <v>25</v>
      </c>
      <c r="H30" s="72" t="s">
        <v>131</v>
      </c>
      <c r="I30" s="74">
        <v>0.16</v>
      </c>
      <c r="J30" s="76">
        <v>1299</v>
      </c>
      <c r="K30" s="79" t="str">
        <f>HYPERLINK("https://amzn.to/2OlyeAf","link*")</f>
        <v>link*</v>
      </c>
      <c r="L30" s="79" t="str">
        <f>HYPERLINK("https://www.bhphotovideo.com/c/product/1389169-REG/zeiss_000000_2218_783_loxia_25mm_f_2_4_lens.html/BI/19619/KBID/12129/kw/ZE2524L/DFF/d10-v2-t1-xZE2524L","link*")</f>
        <v>link*</v>
      </c>
      <c r="M30" s="79" t="str">
        <f>HYPERLINK("https://amzn.to/2OlyeAf","link*")</f>
        <v>link*</v>
      </c>
      <c r="N30" s="79" t="e">
        <f>HYPERLINK("http://rover.ebay.com/rover/1/711-53200-19255-0/1?icep_ff3=9&amp;pub=5575076376&amp;toolid=10001&amp;campid=5338573609&amp;customid=&amp;icep_uq=Zeissloxia+25mm&amp;icep_sellerId=&amp;icep_ex_kw=&amp;icep_sortBy=12&amp;icep_catId=3323&amp;icep_minPrice=&amp;icep_maxPrice=&amp;ipn=psmain&amp;icep_vectorid=2"&amp;"29466&amp;kwid=902099&amp;mtid=824&amp;kw=lg","link*")</f>
        <v>#VALUE!</v>
      </c>
      <c r="O30" s="84">
        <v>25</v>
      </c>
      <c r="P30" s="70" t="s">
        <v>27</v>
      </c>
      <c r="Q30" s="74">
        <v>10</v>
      </c>
      <c r="R30" s="136" t="s">
        <v>140</v>
      </c>
      <c r="S30" s="74" t="s">
        <v>87</v>
      </c>
      <c r="T30" s="88">
        <v>43160</v>
      </c>
    </row>
    <row r="31" spans="1:21" ht="13" hidden="1">
      <c r="A31" s="58" t="s">
        <v>141</v>
      </c>
      <c r="B31" s="60">
        <v>965</v>
      </c>
      <c r="C31" s="62">
        <v>28</v>
      </c>
      <c r="D31" s="64">
        <v>1.4</v>
      </c>
      <c r="E31" s="194">
        <v>83</v>
      </c>
      <c r="F31" s="195">
        <v>134</v>
      </c>
      <c r="G31" s="70" t="s">
        <v>36</v>
      </c>
      <c r="H31" s="72" t="s">
        <v>80</v>
      </c>
      <c r="I31" s="74">
        <v>0.19</v>
      </c>
      <c r="J31" s="76">
        <v>1399</v>
      </c>
      <c r="K31" s="79" t="str">
        <f>HYPERLINK("https://amzn.to/2Wn0pxO","link*")</f>
        <v>link*</v>
      </c>
      <c r="L31" s="79" t="str">
        <f>HYPERLINK("https://www.bhphotovideo.com/c/product/1436285-REG/sigma_28mm_f_1_4_dg_hsm.html/BI/19619/KBID/12129/kw/SI2814DGSE/DFF/d10-v2-t1-xSI2814DGSE","link*")</f>
        <v>link*</v>
      </c>
      <c r="M31" s="79" t="str">
        <f>HYPERLINK("https://amzn.to/2WzVkHd","link*")</f>
        <v>link*</v>
      </c>
      <c r="N31" s="79"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c r="O31" s="84">
        <v>28</v>
      </c>
      <c r="P31" s="70" t="s">
        <v>27</v>
      </c>
      <c r="Q31" s="74">
        <v>9</v>
      </c>
      <c r="R31" s="136" t="s">
        <v>133</v>
      </c>
      <c r="S31" s="74" t="s">
        <v>47</v>
      </c>
      <c r="T31" s="88">
        <v>43435</v>
      </c>
    </row>
    <row r="32" spans="1:21" ht="13">
      <c r="A32" s="126" t="str">
        <f>HYPERLINK("https://www.systemkamera-forum.de/blog/2015/05/sony-fe-28mm-f2-test-und-erfahrungsbericht/","Sony FE 2/28")</f>
        <v>Sony FE 2/28</v>
      </c>
      <c r="B32" s="60">
        <v>200</v>
      </c>
      <c r="C32" s="62">
        <v>28</v>
      </c>
      <c r="D32" s="64">
        <v>2</v>
      </c>
      <c r="E32" s="194">
        <v>60</v>
      </c>
      <c r="F32" s="195">
        <v>60</v>
      </c>
      <c r="G32" s="70" t="s">
        <v>36</v>
      </c>
      <c r="H32" s="72" t="s">
        <v>124</v>
      </c>
      <c r="I32" s="74">
        <v>0.13</v>
      </c>
      <c r="J32" s="156">
        <v>448</v>
      </c>
      <c r="K32" s="79" t="str">
        <f>HYPERLINK("https://amzn.to/2GXJWdo","link*")</f>
        <v>link*</v>
      </c>
      <c r="L32" s="79" t="str">
        <f>HYPERLINK("https://www.bhphotovideo.com/c/product/1402637-REG/sony_fe_28mm_f_2_lens.html/BI/19619/KBID/12129/kw/SO2820F/DFF/d10-v2-t1-xSO2820F","link*")</f>
        <v>link*</v>
      </c>
      <c r="M32" s="79" t="str">
        <f>HYPERLINK("http://amzn.to/2wyLOCO","link*")</f>
        <v>link*</v>
      </c>
      <c r="N32" s="79"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32" s="84">
        <v>29</v>
      </c>
      <c r="P32" s="70" t="s">
        <v>27</v>
      </c>
      <c r="Q32" s="74">
        <v>9</v>
      </c>
      <c r="R32" s="136" t="s">
        <v>91</v>
      </c>
      <c r="S32" s="74" t="s">
        <v>41</v>
      </c>
      <c r="T32" s="88">
        <v>42064</v>
      </c>
    </row>
    <row r="33" spans="1:21" ht="13">
      <c r="A33" s="126" t="str">
        <f>HYPERLINK("https://phillipreeve.net/blog/review-tamron-28-75mm-f-2-8-di-iii-rxd-sony-e-mount/","Tamron 2.8/28-75")</f>
        <v>Tamron 2.8/28-75</v>
      </c>
      <c r="B33" s="60">
        <v>550</v>
      </c>
      <c r="C33" s="62">
        <v>28</v>
      </c>
      <c r="D33" s="64">
        <v>2.8</v>
      </c>
      <c r="E33" s="194">
        <v>73</v>
      </c>
      <c r="F33" s="195">
        <v>118</v>
      </c>
      <c r="G33" s="70" t="s">
        <v>36</v>
      </c>
      <c r="H33" s="72" t="s">
        <v>73</v>
      </c>
      <c r="I33" s="201">
        <v>0.34</v>
      </c>
      <c r="J33" s="156">
        <v>879</v>
      </c>
      <c r="K33" s="79" t="str">
        <f>HYPERLINK("https://amzn.to/2ST5uxq","link*")</f>
        <v>link*</v>
      </c>
      <c r="L33" s="79" t="str">
        <f>HYPERLINK("https://www.bhphotovideo.com/c/product/1393332-REG/tamron_a036_28_75mm_f_2_8_di_iii.html/BI/19619/KBID/12129/DFF/d10-v21-t1-x892059/SID/EZ","link*")</f>
        <v>link*</v>
      </c>
      <c r="M33" s="79" t="str">
        <f>HYPERLINK("https://amzn.to/2ZmSzdU","link*")</f>
        <v>link*</v>
      </c>
      <c r="N33" s="79"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33" s="84">
        <v>19</v>
      </c>
      <c r="P33" s="70" t="s">
        <v>27</v>
      </c>
      <c r="Q33" s="74">
        <v>9</v>
      </c>
      <c r="R33" s="136" t="s">
        <v>122</v>
      </c>
      <c r="S33" s="74" t="s">
        <v>78</v>
      </c>
      <c r="T33" s="88">
        <v>43252</v>
      </c>
    </row>
    <row r="34" spans="1:21" ht="13">
      <c r="A34" s="58" t="s">
        <v>145</v>
      </c>
      <c r="B34" s="60">
        <v>295</v>
      </c>
      <c r="C34" s="62">
        <v>28</v>
      </c>
      <c r="D34" s="64" t="s">
        <v>146</v>
      </c>
      <c r="E34" s="194">
        <v>73</v>
      </c>
      <c r="F34" s="195">
        <v>83</v>
      </c>
      <c r="G34" s="70" t="s">
        <v>36</v>
      </c>
      <c r="H34" s="72" t="s">
        <v>147</v>
      </c>
      <c r="I34" s="74">
        <v>0.19</v>
      </c>
      <c r="J34" s="76">
        <v>398</v>
      </c>
      <c r="K34" s="79" t="str">
        <f>HYPERLINK("https://www.amazon.com/gp/product/B00FYOFADE/ref=as_li_tl?ie=UTF8&amp;tag=wwwphillipree-20&amp;camp=1789&amp;creative=9325&amp;linkCode=as2&amp;creativeASIN=B00FYOFADE&amp;linkId=96720b245156eae53bb1a672d4453d3f","link*")</f>
        <v>link*</v>
      </c>
      <c r="L34" s="79" t="str">
        <f>HYPERLINK("https://www.bhphotovideo.com/c/product/1015472-REG/sony_sel2870_fe_28_70mm_f_3_5_5_6_oss.html/BI/19619/KBID/12129/DFF/d10-v21-t1-x473993/SID/EZ","link*")</f>
        <v>link*</v>
      </c>
      <c r="M34" s="79" t="str">
        <f>HYPERLINK("https://www.amazon.de/gp/product/B00HSHFPD0/ref=as_li_tl?ie=UTF8&amp;tag=wwwphillipree-21&amp;camp=1638&amp;creative=6742&amp;linkCode=as2&amp;creativeASIN=B00HSHFPD0&amp;linkId=6701f30673f8a4071232ca85e1953506","link*")</f>
        <v>link*</v>
      </c>
      <c r="N34" s="79"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34" s="84">
        <v>30</v>
      </c>
      <c r="P34" s="134" t="s">
        <v>66</v>
      </c>
      <c r="Q34" s="74">
        <v>7</v>
      </c>
      <c r="R34" s="136" t="s">
        <v>91</v>
      </c>
      <c r="S34" s="74" t="s">
        <v>41</v>
      </c>
      <c r="T34" s="88">
        <v>41548</v>
      </c>
    </row>
    <row r="35" spans="1:21" ht="13">
      <c r="A35" s="58" t="s">
        <v>151</v>
      </c>
      <c r="B35" s="60">
        <v>1215</v>
      </c>
      <c r="C35" s="62">
        <v>28</v>
      </c>
      <c r="D35" s="64">
        <v>4</v>
      </c>
      <c r="E35" s="194">
        <v>105</v>
      </c>
      <c r="F35" s="195">
        <v>165</v>
      </c>
      <c r="G35" s="70" t="s">
        <v>36</v>
      </c>
      <c r="H35" s="234" t="s">
        <v>152</v>
      </c>
      <c r="I35" s="125"/>
      <c r="J35" s="76">
        <v>249</v>
      </c>
      <c r="K35" s="79" t="str">
        <f>HYPERLINK("http://amzn.to/2v2kiy9","link*")</f>
        <v>link*</v>
      </c>
      <c r="L35" s="79" t="str">
        <f>HYPERLINK("https://www.bhphotovideo.com/c/product/1082051-REG/sony_selp28135g_e_pz_28_135mm_f_4.html/BI/19619/KBID/12129/DFF/d10-v21-t1-x556056/SID/EZ","link*")</f>
        <v>link*</v>
      </c>
      <c r="M35" s="79" t="str">
        <f>HYPERLINK("http://amzn.to/2wlpg9b","link*")</f>
        <v>link*</v>
      </c>
      <c r="N35" s="79"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35" s="84">
        <v>40</v>
      </c>
      <c r="P35" s="134" t="s">
        <v>66</v>
      </c>
      <c r="Q35" s="74">
        <v>9</v>
      </c>
      <c r="R35" s="136" t="s">
        <v>153</v>
      </c>
      <c r="S35" s="74" t="s">
        <v>41</v>
      </c>
      <c r="T35" s="88">
        <v>41883</v>
      </c>
      <c r="U35" s="77" t="s">
        <v>154</v>
      </c>
    </row>
    <row r="36" spans="1:21" ht="15.75" hidden="1" customHeight="1">
      <c r="A36" s="126" t="str">
        <f>HYPERLINK("https://phillipreeve.net/blog/review-sigma-35mm-1-2-art-dg-dn/","Sigma Art 1.2/35")</f>
        <v>Sigma Art 1.2/35</v>
      </c>
      <c r="B36" s="60">
        <v>1090</v>
      </c>
      <c r="C36" s="62">
        <v>35</v>
      </c>
      <c r="D36" s="235">
        <v>1.2</v>
      </c>
      <c r="E36" s="194">
        <v>88</v>
      </c>
      <c r="F36" s="195">
        <v>136</v>
      </c>
      <c r="G36" s="74" t="s">
        <v>36</v>
      </c>
      <c r="H36" s="236" t="s">
        <v>68</v>
      </c>
      <c r="I36" s="74">
        <v>0.19</v>
      </c>
      <c r="J36" s="76">
        <v>1499</v>
      </c>
      <c r="K36" s="79" t="str">
        <f>HYPERLINK("https://amzn.to/2LiHhxc","link*")</f>
        <v>link*</v>
      </c>
      <c r="L36" s="79" t="str">
        <f>HYPERLINK("https://www.bhphotovideo.com/c/product/1492967-REG/sigma_341969_35mm_f_1_2_dg_dn.html/BI/19619/KBID/12129/DFF/d10-v21-t1-x976038/SID/EZ","link*")</f>
        <v>link*</v>
      </c>
      <c r="M36" s="113"/>
      <c r="N36" s="79"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c r="O36" s="84">
        <v>30</v>
      </c>
      <c r="P36" s="70" t="s">
        <v>27</v>
      </c>
      <c r="Q36" s="74">
        <v>11</v>
      </c>
      <c r="R36" s="112">
        <v>43816</v>
      </c>
      <c r="S36" s="74" t="s">
        <v>47</v>
      </c>
      <c r="T36" s="88">
        <v>43647</v>
      </c>
    </row>
    <row r="37" spans="1:21" ht="13" hidden="1">
      <c r="A37" s="126" t="str">
        <f>HYPERLINK("https://phillipreeve.net/blog/review-sony-fe-35mm-1-4-za/","Sony ZA 1.4/35")</f>
        <v>Sony ZA 1.4/35</v>
      </c>
      <c r="B37" s="60">
        <v>630</v>
      </c>
      <c r="C37" s="62">
        <v>35</v>
      </c>
      <c r="D37" s="64">
        <v>1.4</v>
      </c>
      <c r="E37" s="194">
        <v>79</v>
      </c>
      <c r="F37" s="195">
        <v>112</v>
      </c>
      <c r="G37" s="74" t="s">
        <v>36</v>
      </c>
      <c r="H37" s="72" t="s">
        <v>64</v>
      </c>
      <c r="I37" s="74">
        <v>0.18</v>
      </c>
      <c r="J37" s="76">
        <v>1599</v>
      </c>
      <c r="K37" s="79" t="str">
        <f>HYPERLINK("https://amzn.to/2LRSMOS","link*")</f>
        <v>link*</v>
      </c>
      <c r="L37" s="79" t="str">
        <f>HYPERLINK("https://www.bhphotovideo.com/c/product/1126137-REG/sony_sel35f14z_distagon_t_fe_35mm.html/BI/19619/KBID/12129/DFF/d10-v21-t1-x612725/SID/EZ","link*")</f>
        <v>link*</v>
      </c>
      <c r="M37" s="79" t="str">
        <f>HYPERLINK("https://amzn.to/2ZmfSnX","link*")</f>
        <v>link*</v>
      </c>
      <c r="N37" s="79"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37" s="84">
        <v>30</v>
      </c>
      <c r="P37" s="70" t="s">
        <v>27</v>
      </c>
      <c r="Q37" s="74">
        <v>9</v>
      </c>
      <c r="R37" s="112">
        <v>43689</v>
      </c>
      <c r="S37" s="74" t="s">
        <v>41</v>
      </c>
      <c r="T37" s="88">
        <v>42064</v>
      </c>
    </row>
    <row r="38" spans="1:21" ht="13">
      <c r="A38" s="58" t="s">
        <v>155</v>
      </c>
      <c r="B38" s="60">
        <v>645</v>
      </c>
      <c r="C38" s="62">
        <v>35</v>
      </c>
      <c r="D38" s="64">
        <v>1.4</v>
      </c>
      <c r="E38" s="194">
        <v>76</v>
      </c>
      <c r="F38" s="176">
        <v>115</v>
      </c>
      <c r="G38" s="74" t="s">
        <v>36</v>
      </c>
      <c r="H38" s="72" t="s">
        <v>73</v>
      </c>
      <c r="I38" s="74">
        <v>0.17</v>
      </c>
      <c r="J38" s="76">
        <v>799</v>
      </c>
      <c r="K38" s="79" t="str">
        <f>HYPERLINK("https://amzn.to/2K8DDXH","link*")</f>
        <v>link*</v>
      </c>
      <c r="L38" s="79" t="str">
        <f t="shared" ref="L38:L39" si="0">HYPERLINK("https://www.bhphotovideo.com/c/product/1381712-REG/voigtlander_nokton_classic_35mm_f_1_4.html/BI/19619/KBID/12129/DFF/d10-v21-t1-x877353/SID/EZ","link*")</f>
        <v>link*</v>
      </c>
      <c r="M38" s="79" t="str">
        <f>HYPERLINK("https://amzn.to/2Zhl3FI","link*")</f>
        <v>link*</v>
      </c>
      <c r="N38" s="79"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38" s="84">
        <v>30</v>
      </c>
      <c r="P38" s="70" t="s">
        <v>27</v>
      </c>
      <c r="Q38" s="74">
        <v>9</v>
      </c>
      <c r="R38" s="112">
        <v>43719</v>
      </c>
      <c r="S38" s="74" t="s">
        <v>38</v>
      </c>
      <c r="T38" s="88">
        <v>43009</v>
      </c>
      <c r="U38" s="77" t="s">
        <v>156</v>
      </c>
    </row>
    <row r="39" spans="1:21" ht="13">
      <c r="A39" s="126" t="str">
        <f>HYPERLINK("https://phillipreeve.net/blog/review-voigtlander-35mm-1-4-nokton-e-classic/","Voigtlander 35mm F1.4 Nokton Classic")</f>
        <v>Voigtlander 35mm F1.4 Nokton Classic</v>
      </c>
      <c r="B39" s="60">
        <v>262</v>
      </c>
      <c r="C39" s="62">
        <v>35</v>
      </c>
      <c r="D39" s="64">
        <v>1.4</v>
      </c>
      <c r="E39" s="194">
        <v>67</v>
      </c>
      <c r="F39" s="176">
        <v>40</v>
      </c>
      <c r="G39" s="74" t="s">
        <v>25</v>
      </c>
      <c r="H39" s="72" t="s">
        <v>71</v>
      </c>
      <c r="I39" s="74">
        <v>0.16</v>
      </c>
      <c r="J39" s="76">
        <v>799</v>
      </c>
      <c r="K39" s="79" t="str">
        <f>HYPERLINK("https://amzn.to/2M1M8WH","link*")</f>
        <v>link*</v>
      </c>
      <c r="L39" s="79" t="str">
        <f t="shared" si="0"/>
        <v>link*</v>
      </c>
      <c r="M39" s="79" t="str">
        <f>HYPERLINK("https://amzn.to/2ZswTZ3","link*")</f>
        <v>link*</v>
      </c>
      <c r="N39" s="79"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c r="O39" s="84">
        <v>30</v>
      </c>
      <c r="P39" s="70" t="s">
        <v>27</v>
      </c>
      <c r="Q39" s="74">
        <v>10</v>
      </c>
      <c r="R39" s="112">
        <v>43624</v>
      </c>
      <c r="S39" s="74" t="s">
        <v>29</v>
      </c>
      <c r="T39" s="88">
        <v>43132</v>
      </c>
    </row>
    <row r="40" spans="1:21" ht="15.75" customHeight="1">
      <c r="A40" s="126" t="str">
        <f>HYPERLINK("https://phillipreeve.net/blog/review-sigma-35mm-1-4-art/","Sigma Art 1.4/35")</f>
        <v>Sigma Art 1.4/35</v>
      </c>
      <c r="B40" s="60">
        <v>740</v>
      </c>
      <c r="C40" s="62">
        <v>35</v>
      </c>
      <c r="D40" s="64">
        <v>1.4</v>
      </c>
      <c r="E40" s="194">
        <v>77</v>
      </c>
      <c r="F40" s="176">
        <v>94</v>
      </c>
      <c r="G40" s="74" t="s">
        <v>36</v>
      </c>
      <c r="H40" s="72" t="s">
        <v>73</v>
      </c>
      <c r="I40" s="74">
        <v>0.19</v>
      </c>
      <c r="J40" s="156">
        <v>899</v>
      </c>
      <c r="K40" s="79" t="str">
        <f>HYPERLINK("https://amzn.to/2LOaQcZ","link*")</f>
        <v>link*</v>
      </c>
      <c r="L40" s="79" t="str">
        <f>HYPERLINK("https://www.bhphotovideo.com/c/product/1393492-REG/sigma_35mm_f_1_4_dg_hsm.html/BI/19619/KBID/12129/DFF/d10-v21-t1-x881157/SID/EZ","link*")</f>
        <v>link*</v>
      </c>
      <c r="M40" s="79" t="str">
        <f>HYPERLINK("https://amzn.to/2ZrfakE","link*")</f>
        <v>link*</v>
      </c>
      <c r="N40" s="79"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O40" s="84">
        <v>30</v>
      </c>
      <c r="P40" s="70" t="s">
        <v>27</v>
      </c>
      <c r="Q40" s="74">
        <v>9</v>
      </c>
      <c r="R40" s="112">
        <v>43782</v>
      </c>
      <c r="S40" s="74" t="s">
        <v>47</v>
      </c>
      <c r="T40" s="88">
        <v>43221</v>
      </c>
      <c r="U40" s="77" t="s">
        <v>48</v>
      </c>
    </row>
    <row r="41" spans="1:21" ht="13">
      <c r="A41" s="58" t="s">
        <v>157</v>
      </c>
      <c r="B41" s="60">
        <v>280</v>
      </c>
      <c r="C41" s="62">
        <v>35</v>
      </c>
      <c r="D41" s="64">
        <v>1.8</v>
      </c>
      <c r="E41" s="194">
        <v>66</v>
      </c>
      <c r="F41" s="176">
        <v>73</v>
      </c>
      <c r="G41" s="74" t="s">
        <v>36</v>
      </c>
      <c r="H41" s="72" t="s">
        <v>147</v>
      </c>
      <c r="I41" s="239">
        <v>0.24</v>
      </c>
      <c r="J41" s="76">
        <v>749</v>
      </c>
      <c r="K41" s="113"/>
      <c r="L41" s="79" t="str">
        <f>HYPERLINK("https://www.bhphotovideo.com/c/product/1492866-REG/sony_sel35f18f_35mm_f_1_8_fe_lens.html/BI/19619/KBID/12129/DFF/d10-v21-t1-x975763/SID/EZ","link*")</f>
        <v>link*</v>
      </c>
      <c r="M41" s="79" t="str">
        <f>HYPERLINK("https://amzn.to/2PiATLC","link*")</f>
        <v>link*</v>
      </c>
      <c r="N41" s="79"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41" s="84">
        <v>22</v>
      </c>
      <c r="P41" s="70" t="s">
        <v>27</v>
      </c>
      <c r="Q41" s="74">
        <v>9</v>
      </c>
      <c r="R41" s="112">
        <v>43719</v>
      </c>
      <c r="S41" s="74" t="s">
        <v>41</v>
      </c>
      <c r="T41" s="88">
        <v>43647</v>
      </c>
    </row>
    <row r="42" spans="1:21" ht="13" hidden="1">
      <c r="A42" s="126" t="str">
        <f>HYPERLINK("https://phillipreeve.net/blog/review-zeiss-loxia-35mm-2-0/","Zeiss Loxia 2/35 Biogon T*")</f>
        <v>Zeiss Loxia 2/35 Biogon T*</v>
      </c>
      <c r="B42" s="60">
        <v>340</v>
      </c>
      <c r="C42" s="62">
        <v>35</v>
      </c>
      <c r="D42" s="64">
        <v>2</v>
      </c>
      <c r="E42" s="194">
        <v>62</v>
      </c>
      <c r="F42" s="195">
        <v>66</v>
      </c>
      <c r="G42" s="74" t="s">
        <v>25</v>
      </c>
      <c r="H42" s="72" t="s">
        <v>131</v>
      </c>
      <c r="I42" s="74">
        <v>0.17</v>
      </c>
      <c r="J42" s="76">
        <v>1299</v>
      </c>
      <c r="K42" s="79" t="str">
        <f>HYPERLINK("https://amzn.to/2T2sJWe","link*")</f>
        <v>link*</v>
      </c>
      <c r="L42" s="79" t="str">
        <f>HYPERLINK("https://www.bhphotovideo.com/c/product/1080388-REG/zeiss_2103_749_loxia_35mm_f_2_biogon.html/BI/19619/KBID/12129/DFF/d10-v21-t1-x553792/SID/EZ","link*")</f>
        <v>link*</v>
      </c>
      <c r="M42" s="113" t="s">
        <v>51</v>
      </c>
      <c r="N42" s="79"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O42" s="84">
        <v>30</v>
      </c>
      <c r="P42" s="70" t="s">
        <v>27</v>
      </c>
      <c r="Q42" s="74">
        <v>10</v>
      </c>
      <c r="R42" s="112">
        <v>43625</v>
      </c>
      <c r="S42" s="74" t="s">
        <v>87</v>
      </c>
      <c r="T42" s="88">
        <v>41974</v>
      </c>
      <c r="U42" s="77" t="s">
        <v>166</v>
      </c>
    </row>
    <row r="43" spans="1:21" ht="13">
      <c r="A43" s="126" t="str">
        <f>HYPERLINK("http://www.photozone.de/sonyalphaff/865-zeiss35f28ff","Sony ZA 2.8/35")</f>
        <v>Sony ZA 2.8/35</v>
      </c>
      <c r="B43" s="60">
        <v>120</v>
      </c>
      <c r="C43" s="62">
        <v>35</v>
      </c>
      <c r="D43" s="64">
        <v>2.8</v>
      </c>
      <c r="E43" s="194">
        <v>62</v>
      </c>
      <c r="F43" s="195">
        <v>37</v>
      </c>
      <c r="G43" s="74" t="s">
        <v>36</v>
      </c>
      <c r="H43" s="72" t="s">
        <v>124</v>
      </c>
      <c r="I43" s="74">
        <v>0.12</v>
      </c>
      <c r="J43" s="76">
        <v>798</v>
      </c>
      <c r="K43" s="79" t="str">
        <f>HYPERLINK("https://amzn.to/2yvhL24","link*")</f>
        <v>link*</v>
      </c>
      <c r="L43" s="79" t="str">
        <f>HYPERLINK("https://www.bhphotovideo.com/c/product/1008123-REG/sony_sel35f28z_sonnar_t_fe_35mm.html/BI/19619/KBID/12129/DFF/d10-v21-t1-x466840/SID/EZ","link*")</f>
        <v>link*</v>
      </c>
      <c r="M43" s="113" t="s">
        <v>51</v>
      </c>
      <c r="N43" s="79"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43" s="84">
        <v>35</v>
      </c>
      <c r="P43" s="70" t="s">
        <v>27</v>
      </c>
      <c r="Q43" s="74">
        <v>9</v>
      </c>
      <c r="R43" s="112">
        <v>43592</v>
      </c>
      <c r="S43" s="74" t="s">
        <v>41</v>
      </c>
      <c r="T43" s="88">
        <v>41487</v>
      </c>
    </row>
    <row r="44" spans="1:21" ht="13">
      <c r="A44" s="58" t="s">
        <v>158</v>
      </c>
      <c r="B44" s="60">
        <v>86</v>
      </c>
      <c r="C44" s="62">
        <v>35</v>
      </c>
      <c r="D44" s="64">
        <v>2.8</v>
      </c>
      <c r="E44" s="194">
        <v>62</v>
      </c>
      <c r="F44" s="195">
        <v>33</v>
      </c>
      <c r="G44" s="74" t="s">
        <v>36</v>
      </c>
      <c r="H44" s="72" t="s">
        <v>124</v>
      </c>
      <c r="I44" s="74">
        <v>0.12</v>
      </c>
      <c r="J44" s="241">
        <v>399</v>
      </c>
      <c r="K44" s="79" t="str">
        <f t="shared" ref="K44:K45" si="1">HYPERLINK("https://amzn.to/2MGKrxp","link*")</f>
        <v>link*</v>
      </c>
      <c r="L44" s="79" t="str">
        <f>HYPERLINK("https://www.bhphotovideo.com/c/product/1348365-REG/samyang_syio35af_e_35mm_f2_8_compact_wide.html/BI/19619/KBID/12129/DFF/d10-v21-t1-x832776/SID/EZ","link*")</f>
        <v>link*</v>
      </c>
      <c r="M44" s="113" t="s">
        <v>51</v>
      </c>
      <c r="N44" s="79"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44" s="84">
        <v>35</v>
      </c>
      <c r="P44" s="70" t="s">
        <v>27</v>
      </c>
      <c r="Q44" s="74">
        <v>9</v>
      </c>
      <c r="R44" s="112">
        <v>43623</v>
      </c>
      <c r="S44" s="74" t="s">
        <v>38</v>
      </c>
      <c r="T44" s="88">
        <v>42917</v>
      </c>
    </row>
    <row r="45" spans="1:21" ht="13" hidden="1">
      <c r="A45" s="126" t="str">
        <f>HYPERLINK("https://phillipreeve.net/blog/voigtlander-40mm-f1-2-nokton-aspherical-rolling-review/","Voigtlander 40mm F1.2 Nokton")</f>
        <v>Voigtlander 40mm F1.2 Nokton</v>
      </c>
      <c r="B45" s="60">
        <v>420</v>
      </c>
      <c r="C45" s="62">
        <v>40</v>
      </c>
      <c r="D45" s="304">
        <v>1.2</v>
      </c>
      <c r="E45" s="194">
        <v>70</v>
      </c>
      <c r="F45" s="195">
        <v>59</v>
      </c>
      <c r="G45" s="74" t="s">
        <v>25</v>
      </c>
      <c r="H45" s="72" t="s">
        <v>71</v>
      </c>
      <c r="I45" s="74">
        <v>0.16</v>
      </c>
      <c r="J45" s="76">
        <v>1099</v>
      </c>
      <c r="K45" s="79" t="str">
        <f t="shared" si="1"/>
        <v>link*</v>
      </c>
      <c r="L45" s="79" t="str">
        <f>HYPERLINK("https://www.bhphotovideo.com/c/product/1362557-REG/voigtlander_nokton_40mm_f_1_2_aspherical.html/BI/19619/KBID/12129/DFF/d10-v21-t1-x851241/SID/EZ","link*")</f>
        <v>link*</v>
      </c>
      <c r="M45" s="113" t="s">
        <v>51</v>
      </c>
      <c r="N45" s="79"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c r="O45" s="84">
        <v>35</v>
      </c>
      <c r="P45" s="70" t="s">
        <v>27</v>
      </c>
      <c r="Q45" s="74">
        <v>10</v>
      </c>
      <c r="R45" s="112">
        <v>43624</v>
      </c>
      <c r="S45" s="74" t="s">
        <v>29</v>
      </c>
      <c r="T45" s="88">
        <v>43040</v>
      </c>
    </row>
    <row r="46" spans="1:21" ht="13" hidden="1">
      <c r="A46" s="126" t="str">
        <f>HYPERLINK("https://phillipreeve.net/blog/review-sigma-40mm-1-4-art/","Sigma Art 1.4/40")</f>
        <v>Sigma Art 1.4/40</v>
      </c>
      <c r="B46" s="60">
        <v>1200</v>
      </c>
      <c r="C46" s="62">
        <v>40</v>
      </c>
      <c r="D46" s="64">
        <v>1.4</v>
      </c>
      <c r="E46" s="194">
        <v>88</v>
      </c>
      <c r="F46" s="176">
        <v>157</v>
      </c>
      <c r="G46" s="74" t="s">
        <v>36</v>
      </c>
      <c r="H46" s="244" t="s">
        <v>68</v>
      </c>
      <c r="I46" s="74">
        <v>0.15</v>
      </c>
      <c r="J46" s="76">
        <v>1399</v>
      </c>
      <c r="K46" s="79" t="str">
        <f>HYPERLINK("https://amzn.to/2SYXFXq","link*")</f>
        <v>link*</v>
      </c>
      <c r="L46" s="79" t="str">
        <f>HYPERLINK("https://www.bhphotovideo.com/c/product/1436292-REG/sigma_40mm_f_1_4_dg_hsm.html/BI/19619/KBID/12129/DFF/d10-v21-t1-x925196/SID/EZ","link*")</f>
        <v>link*</v>
      </c>
      <c r="M46" s="113" t="s">
        <v>51</v>
      </c>
      <c r="N46" s="79"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O46" s="84">
        <v>40</v>
      </c>
      <c r="P46" s="70" t="s">
        <v>27</v>
      </c>
      <c r="Q46" s="74">
        <v>9</v>
      </c>
      <c r="R46" s="112">
        <v>43815</v>
      </c>
      <c r="S46" s="74" t="s">
        <v>47</v>
      </c>
      <c r="T46" s="88">
        <v>43435</v>
      </c>
      <c r="U46" s="77" t="s">
        <v>48</v>
      </c>
    </row>
    <row r="47" spans="1:21" ht="13" hidden="1">
      <c r="A47" s="126" t="str">
        <f>HYPERLINK("https://phillipreeve.net/blog/review-zeiss-batis-2-40-cf/","Zeiss Batis 2/40 CF T*")</f>
        <v>Zeiss Batis 2/40 CF T*</v>
      </c>
      <c r="B47" s="60">
        <v>361</v>
      </c>
      <c r="C47" s="62">
        <v>40</v>
      </c>
      <c r="D47" s="64">
        <v>2</v>
      </c>
      <c r="E47" s="194">
        <v>91</v>
      </c>
      <c r="F47" s="176">
        <v>93</v>
      </c>
      <c r="G47" s="74" t="s">
        <v>36</v>
      </c>
      <c r="H47" s="72" t="s">
        <v>73</v>
      </c>
      <c r="I47" s="239">
        <v>0.3</v>
      </c>
      <c r="J47" s="76">
        <v>1299</v>
      </c>
      <c r="K47" s="79" t="str">
        <f>HYPERLINK("https://amzn.to/2LUN0MF","link*")</f>
        <v>link*</v>
      </c>
      <c r="L47" s="79" t="str">
        <f>HYPERLINK("https://www.bhphotovideo.com/c/product/1436738-REG/zeiss_000000_2239_137_batis_40mm_f_2_cf.html/BI/19619/KBID/12129/DFF/d10-v21-t1-x915694/SID/EZ","link*")</f>
        <v>link*</v>
      </c>
      <c r="M47" s="113" t="s">
        <v>51</v>
      </c>
      <c r="N47" s="79"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47" s="84">
        <v>24</v>
      </c>
      <c r="P47" s="70" t="s">
        <v>27</v>
      </c>
      <c r="Q47" s="74">
        <v>9</v>
      </c>
      <c r="R47" s="112">
        <v>43686</v>
      </c>
      <c r="S47" s="74" t="s">
        <v>87</v>
      </c>
      <c r="T47" s="88">
        <v>43435</v>
      </c>
      <c r="U47" s="77" t="s">
        <v>159</v>
      </c>
    </row>
    <row r="48" spans="1:21" ht="13">
      <c r="A48" s="58" t="s">
        <v>160</v>
      </c>
      <c r="B48" s="60">
        <v>162</v>
      </c>
      <c r="C48" s="62">
        <v>45</v>
      </c>
      <c r="D48" s="64">
        <v>1.8</v>
      </c>
      <c r="E48" s="194">
        <v>62</v>
      </c>
      <c r="F48" s="176">
        <v>56</v>
      </c>
      <c r="G48" s="74" t="s">
        <v>36</v>
      </c>
      <c r="H48" s="72" t="s">
        <v>124</v>
      </c>
      <c r="I48" s="74">
        <v>0.12</v>
      </c>
      <c r="J48" s="184">
        <v>399</v>
      </c>
      <c r="K48" s="79" t="str">
        <f>HYPERLINK("https://amzn.to/2YC6MST","link*")</f>
        <v>link*</v>
      </c>
      <c r="L48" s="79" t="str">
        <f>HYPERLINK("https://www.bhphotovideo.com/c/product/1478738-REG/samyang_af_45mm_f_1_8_fe.html/BI/19619/KBID/12129/DFF/d10-v21-t1-x964329/SID/EZ","link*")</f>
        <v>link*</v>
      </c>
      <c r="M48" s="113" t="s">
        <v>51</v>
      </c>
      <c r="N48" s="79"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48" s="84">
        <v>45</v>
      </c>
      <c r="P48" s="70" t="s">
        <v>27</v>
      </c>
      <c r="Q48" s="74">
        <v>9</v>
      </c>
      <c r="R48" s="112">
        <v>43623</v>
      </c>
      <c r="S48" s="74" t="s">
        <v>38</v>
      </c>
      <c r="T48" s="88">
        <v>43647</v>
      </c>
    </row>
    <row r="49" spans="1:21" ht="13">
      <c r="A49" s="58" t="s">
        <v>161</v>
      </c>
      <c r="B49" s="60">
        <v>215</v>
      </c>
      <c r="C49" s="62">
        <v>45</v>
      </c>
      <c r="D49" s="64">
        <v>2.8</v>
      </c>
      <c r="E49" s="194">
        <v>64</v>
      </c>
      <c r="F49" s="195">
        <v>46</v>
      </c>
      <c r="G49" s="74" t="s">
        <v>36</v>
      </c>
      <c r="H49" s="72" t="s">
        <v>147</v>
      </c>
      <c r="I49" s="201">
        <v>0.25</v>
      </c>
      <c r="J49" s="76">
        <v>549</v>
      </c>
      <c r="K49" s="79" t="str">
        <f>HYPERLINK("https://amzn.to/2SYEvAX","link*")</f>
        <v>link*</v>
      </c>
      <c r="L49" s="79" t="str">
        <f>HYPERLINK("https://www.bhphotovideo.com/c/product/1492966-REG/sigma_360965_45mm_f_2_8_dg_dn.html/BI/19619/KBID/12129/DFF/d10-v21-t1-x976020/SID/EZ","link*")</f>
        <v>link*</v>
      </c>
      <c r="M49" s="113" t="s">
        <v>51</v>
      </c>
      <c r="N49" s="79"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O49" s="84">
        <v>24</v>
      </c>
      <c r="P49" s="70" t="s">
        <v>27</v>
      </c>
      <c r="Q49" s="74">
        <v>7</v>
      </c>
      <c r="R49" s="112">
        <v>43654</v>
      </c>
      <c r="S49" s="74" t="s">
        <v>47</v>
      </c>
      <c r="T49" s="88">
        <v>43647</v>
      </c>
      <c r="U49" s="77" t="s">
        <v>162</v>
      </c>
    </row>
    <row r="50" spans="1:21" ht="13" hidden="1">
      <c r="A50" s="126" t="str">
        <f>HYPERLINK("https://phillipreeve.net/blog/review-voigtlander-50mm-1-2-nokton-e/","Voigtlander 50mm F1.2 Nokton")</f>
        <v>Voigtlander 50mm F1.2 Nokton</v>
      </c>
      <c r="B50" s="60">
        <v>440</v>
      </c>
      <c r="C50" s="62">
        <v>50</v>
      </c>
      <c r="D50" s="304">
        <v>1.2</v>
      </c>
      <c r="E50" s="194">
        <v>70</v>
      </c>
      <c r="F50" s="195">
        <v>58</v>
      </c>
      <c r="G50" s="74" t="s">
        <v>25</v>
      </c>
      <c r="H50" s="72" t="s">
        <v>71</v>
      </c>
      <c r="I50" s="125"/>
      <c r="J50" s="76">
        <v>1099</v>
      </c>
      <c r="K50" s="79" t="str">
        <f>HYPERLINK("https://amzn.to/2OAfE7N","link*")</f>
        <v>link*</v>
      </c>
      <c r="L50" s="79" t="str">
        <f>HYPERLINK("https://www.bhphotovideo.com/c/product/1433349-REG/voigtlander_ba348a_nokton_50mm_f_1_2_aspherical.html/BI/19619/KBID/12129/DFF/d10-v21-t1-x915623/SID/EZ","link*")</f>
        <v>link*</v>
      </c>
      <c r="M50" s="113" t="s">
        <v>51</v>
      </c>
      <c r="N50" s="79" t="e">
        <f>HYPERLINK("http://rover.ebay.com/rover/1/711-53200-19255-0/1?icep_ff3=9&amp;pub=5575076376&amp;toolid=10001&amp;campid=5338164340&amp;customid=&amp;icep_uq=sony+50+1.2&amp;icep_sellerId=&amp;icep_ex_kw=&amp;icep_sortBy=12&amp;icep_catId=3323&amp;icep_minPrice=&amp;icep_maxPrice=&amp;ipn=psmain&amp;icep_vectorid=22946"&amp;"6&amp;kwid=902099&amp;mtid=824&amp;kw=lg","link*")</f>
        <v>#VALUE!</v>
      </c>
      <c r="O50" s="84">
        <v>45</v>
      </c>
      <c r="P50" s="70" t="s">
        <v>27</v>
      </c>
      <c r="Q50" s="74">
        <v>12</v>
      </c>
      <c r="R50" s="112">
        <v>43624</v>
      </c>
      <c r="S50" s="74" t="s">
        <v>29</v>
      </c>
      <c r="T50" s="88">
        <v>43556</v>
      </c>
    </row>
    <row r="51" spans="1:21" ht="13" hidden="1">
      <c r="A51" s="58" t="s">
        <v>163</v>
      </c>
      <c r="B51" s="60">
        <v>778</v>
      </c>
      <c r="C51" s="62">
        <v>50</v>
      </c>
      <c r="D51" s="64">
        <v>1.4</v>
      </c>
      <c r="E51" s="194">
        <v>84</v>
      </c>
      <c r="F51" s="195">
        <v>108</v>
      </c>
      <c r="G51" s="74" t="s">
        <v>36</v>
      </c>
      <c r="H51" s="72" t="s">
        <v>64</v>
      </c>
      <c r="I51" s="74">
        <v>0.15</v>
      </c>
      <c r="J51" s="76">
        <v>1499</v>
      </c>
      <c r="K51" s="79" t="str">
        <f>HYPERLINK("https://amzn.to/2K88EL7","link*")</f>
        <v>link*</v>
      </c>
      <c r="L51" s="113" t="s">
        <v>51</v>
      </c>
      <c r="M51" s="113" t="s">
        <v>51</v>
      </c>
      <c r="N51" s="79"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51" s="84">
        <v>45</v>
      </c>
      <c r="P51" s="70" t="s">
        <v>27</v>
      </c>
      <c r="Q51" s="74">
        <v>11</v>
      </c>
      <c r="R51" s="112">
        <v>43720</v>
      </c>
      <c r="S51" s="74" t="s">
        <v>41</v>
      </c>
      <c r="T51" s="88">
        <v>42583</v>
      </c>
    </row>
    <row r="52" spans="1:21" ht="13">
      <c r="A52" s="58" t="s">
        <v>164</v>
      </c>
      <c r="B52" s="60">
        <v>815</v>
      </c>
      <c r="C52" s="62">
        <v>50</v>
      </c>
      <c r="D52" s="64">
        <v>1.4</v>
      </c>
      <c r="E52" s="194">
        <v>85</v>
      </c>
      <c r="F52" s="195">
        <v>100</v>
      </c>
      <c r="G52" s="74" t="s">
        <v>36</v>
      </c>
      <c r="H52" s="72" t="s">
        <v>80</v>
      </c>
      <c r="I52" s="74">
        <v>0.18</v>
      </c>
      <c r="J52" s="76">
        <v>949</v>
      </c>
      <c r="K52" s="79" t="str">
        <f>HYPERLINK("https://amzn.to/2K4JmyT","link*")</f>
        <v>link*</v>
      </c>
      <c r="L52" s="79" t="str">
        <f>HYPERLINK("https://www.bhphotovideo.com/c/product/1393493-REG/sigma_50mm_f_1_4_dg_hsm.html/BI/19619/KBID/12129/kw/SI5014SO/DFF/d10-v2-t1-xSI5014SO","link*")</f>
        <v>link*</v>
      </c>
      <c r="M52" s="79" t="str">
        <f>HYPERLINK("https://amzn.to/2Wpdoz5","link*")</f>
        <v>link*</v>
      </c>
      <c r="N52" s="79" t="e">
        <f>HYPERLINK("http://rover.ebay.com/rover/1/711-53200-19255-0/1?icep_ff3=9&amp;pub=5575076376&amp;toolid=10001&amp;campid=5338164340&amp;customid=&amp;icep_uq=sony+50+1.4+za+-ssm&amp;icep_sellerId=&amp;icep_ex_kw=&amp;icep_sortBy=12&amp;icep_catId=3323&amp;icep_minPrice=&amp;icep_maxPrice=&amp;ipn=psmain&amp;icep_vector"&amp;"id=229466&amp;kwid=902099&amp;mtid=824&amp;kw=lg","link*")</f>
        <v>#VALUE!</v>
      </c>
      <c r="O52" s="84">
        <v>40</v>
      </c>
      <c r="P52" s="70" t="s">
        <v>27</v>
      </c>
      <c r="Q52" s="74">
        <v>9</v>
      </c>
      <c r="R52" s="112">
        <v>43690</v>
      </c>
      <c r="S52" s="74" t="s">
        <v>47</v>
      </c>
      <c r="T52" s="88">
        <v>43221</v>
      </c>
      <c r="U52" s="77" t="s">
        <v>48</v>
      </c>
    </row>
    <row r="53" spans="1:21" ht="13">
      <c r="A53" s="58" t="s">
        <v>165</v>
      </c>
      <c r="B53" s="60">
        <v>585</v>
      </c>
      <c r="C53" s="62">
        <v>50</v>
      </c>
      <c r="D53" s="64">
        <v>1.4</v>
      </c>
      <c r="E53" s="194">
        <v>74</v>
      </c>
      <c r="F53" s="195">
        <v>98</v>
      </c>
      <c r="G53" s="74" t="s">
        <v>36</v>
      </c>
      <c r="H53" s="72" t="s">
        <v>73</v>
      </c>
      <c r="I53" s="74">
        <v>0.15</v>
      </c>
      <c r="J53" s="76">
        <v>699</v>
      </c>
      <c r="K53" s="79" t="str">
        <f>HYPERLINK("https://amzn.to/2SY1Pyr","link*")</f>
        <v>link*</v>
      </c>
      <c r="L53" s="79" t="str">
        <f>HYPERLINK("https://www.bhphotovideo.com/c/product/1352862-REG/samyang_syio50af_e_50mm_f_1_4_auto_focus.html/BI/19619/KBID/12129/DFF/d10-v21-t1-x837927/SID/EZ","link*")</f>
        <v>link*</v>
      </c>
      <c r="M53" s="113" t="s">
        <v>51</v>
      </c>
      <c r="N53" s="79"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53" s="84">
        <v>45</v>
      </c>
      <c r="P53" s="70" t="s">
        <v>27</v>
      </c>
      <c r="Q53" s="74">
        <v>9</v>
      </c>
      <c r="R53" s="112">
        <v>43686</v>
      </c>
      <c r="S53" s="74" t="s">
        <v>38</v>
      </c>
      <c r="T53" s="88">
        <v>42583</v>
      </c>
    </row>
    <row r="54" spans="1:21" ht="13">
      <c r="A54" s="126" t="str">
        <f>HYPERLINK("https://phillipreeve.net/blog/review-sony-fe-1-850/","Sony 50mm F1.8")</f>
        <v>Sony 50mm F1.8</v>
      </c>
      <c r="B54" s="60">
        <v>186</v>
      </c>
      <c r="C54" s="62">
        <v>50</v>
      </c>
      <c r="D54" s="64">
        <v>1.8</v>
      </c>
      <c r="E54" s="194">
        <v>69</v>
      </c>
      <c r="F54" s="195">
        <v>60</v>
      </c>
      <c r="G54" s="74" t="s">
        <v>36</v>
      </c>
      <c r="H54" s="72" t="s">
        <v>124</v>
      </c>
      <c r="I54" s="74">
        <v>0.14000000000000001</v>
      </c>
      <c r="J54" s="156">
        <v>249</v>
      </c>
      <c r="K54" s="79" t="str">
        <f>HYPERLINK("http://amzn.to/2v2F5Se","link*")</f>
        <v>link*</v>
      </c>
      <c r="L54" s="79" t="str">
        <f>HYPERLINK("https://www.bhphotovideo.com/c/product/1242613-REG/sony_sel50f18f_fe_50mm_f_1_8_lens.html/BI/19619/KBID/12129/kw/SO5018F/DFF/d10-v2-t1-xSO5018F","link*")</f>
        <v>link*</v>
      </c>
      <c r="M54" s="79" t="str">
        <f>HYPERLINK("http://amzn.to/2wyHB25","link*")</f>
        <v>link*</v>
      </c>
      <c r="N54"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54" s="84">
        <v>45</v>
      </c>
      <c r="P54" s="70" t="s">
        <v>27</v>
      </c>
      <c r="Q54" s="74">
        <v>7</v>
      </c>
      <c r="R54" s="112">
        <v>43591</v>
      </c>
      <c r="S54" s="74" t="s">
        <v>41</v>
      </c>
      <c r="T54" s="88">
        <v>42430</v>
      </c>
    </row>
    <row r="55" spans="1:21" ht="13">
      <c r="A55" s="126" t="str">
        <f>HYPERLINK("https://phillipreeve.net/blog/review-zeiss-loxia-planar-250-t/","Zeiss Loxia 50mm F2")</f>
        <v>Zeiss Loxia 50mm F2</v>
      </c>
      <c r="B55" s="60">
        <v>320</v>
      </c>
      <c r="C55" s="62">
        <v>50</v>
      </c>
      <c r="D55" s="64">
        <v>2</v>
      </c>
      <c r="E55" s="194">
        <v>62</v>
      </c>
      <c r="F55" s="195">
        <v>60</v>
      </c>
      <c r="G55" s="74" t="s">
        <v>25</v>
      </c>
      <c r="H55" s="72" t="s">
        <v>131</v>
      </c>
      <c r="I55" s="74">
        <v>0.15</v>
      </c>
      <c r="J55" s="76">
        <v>949</v>
      </c>
      <c r="K55" s="79" t="str">
        <f>HYPERLINK("http://amzn.to/2faVsIu","link*")</f>
        <v>link*</v>
      </c>
      <c r="L55" s="79" t="str">
        <f>HYPERLINK("https://www.bhphotovideo.com/c/product/1080387-REG/zeiss_2103_748_loxia_50mm_f_2_planar.html/BI/19619/KBID/12129/kw/ZE502LFE/DFF/d10-v2-t1-xZE502LFE","link*")</f>
        <v>link*</v>
      </c>
      <c r="M55" s="79" t="str">
        <f>HYPERLINK("http://amzn.to/2wyJAU4","link*")</f>
        <v>link*</v>
      </c>
      <c r="N55" s="79"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O55" s="84">
        <v>45</v>
      </c>
      <c r="P55" s="70" t="s">
        <v>27</v>
      </c>
      <c r="Q55" s="74">
        <v>10</v>
      </c>
      <c r="R55" s="112">
        <v>43561</v>
      </c>
      <c r="S55" s="74" t="s">
        <v>87</v>
      </c>
      <c r="T55" s="88">
        <v>41913</v>
      </c>
      <c r="U55" s="77" t="s">
        <v>166</v>
      </c>
    </row>
    <row r="56" spans="1:21" ht="13">
      <c r="A56" s="126" t="str">
        <f>HYPERLINK("https://phillipreeve.net/blog/rolling-review-sony-fe-2-850-macro/","Sony 50mm F/2.8 Macro")</f>
        <v>Sony 50mm F/2.8 Macro</v>
      </c>
      <c r="B56" s="60">
        <v>236</v>
      </c>
      <c r="C56" s="62">
        <v>50</v>
      </c>
      <c r="D56" s="64">
        <v>1.8</v>
      </c>
      <c r="E56" s="194">
        <v>72</v>
      </c>
      <c r="F56" s="195">
        <v>71</v>
      </c>
      <c r="G56" s="74" t="s">
        <v>36</v>
      </c>
      <c r="H56" s="72" t="s">
        <v>147</v>
      </c>
      <c r="I56" s="263">
        <v>1</v>
      </c>
      <c r="J56" s="184">
        <v>499</v>
      </c>
      <c r="K56" s="79" t="str">
        <f>HYPERLINK("http://amzn.to/2v2g0qz","link*")</f>
        <v>link*</v>
      </c>
      <c r="L56" s="79" t="str">
        <f>HYPERLINK("https://www.bhphotovideo.com/c/product/1277527-REG/sony_sel50m28_fe_50mm_f_2_8_macro.html/BI/19619/KBID/12129/kw/SO5028FF/DFF/d10-v2-t1-xSO5028FF","link*")</f>
        <v>link*</v>
      </c>
      <c r="M56" s="79" t="str">
        <f>HYPERLINK("http://amzn.to/2vbknRN","link*")</f>
        <v>link*</v>
      </c>
      <c r="N56" s="79"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O56" s="84">
        <v>16</v>
      </c>
      <c r="P56" s="70" t="s">
        <v>27</v>
      </c>
      <c r="Q56" s="74">
        <v>7</v>
      </c>
      <c r="R56" s="112">
        <v>43654</v>
      </c>
      <c r="S56" s="74" t="s">
        <v>41</v>
      </c>
      <c r="T56" s="88">
        <v>42614</v>
      </c>
    </row>
    <row r="57" spans="1:21" ht="13">
      <c r="A57" s="126" t="str">
        <f>HYPERLINK("https://phillipreeve.net/blog/sony-fe-1-855-za-sonnar-t-review/","Sony ZA 55mm F1.8 Sonnar")</f>
        <v>Sony ZA 55mm F1.8 Sonnar</v>
      </c>
      <c r="B57" s="60">
        <v>281</v>
      </c>
      <c r="C57" s="62">
        <v>55</v>
      </c>
      <c r="D57" s="64">
        <v>1.8</v>
      </c>
      <c r="E57" s="194">
        <v>64</v>
      </c>
      <c r="F57" s="195">
        <v>71</v>
      </c>
      <c r="G57" s="74" t="s">
        <v>36</v>
      </c>
      <c r="H57" s="72" t="s">
        <v>124</v>
      </c>
      <c r="I57" s="74">
        <v>0.14000000000000001</v>
      </c>
      <c r="J57" s="76">
        <v>999</v>
      </c>
      <c r="K57" s="79" t="str">
        <f>HYPERLINK("https://amzn.to/2ywdgEk","link*")</f>
        <v>link*</v>
      </c>
      <c r="L57" s="79" t="str">
        <f>HYPERLINK("https://www.bhphotovideo.com/c/product/1008124-REG/sony_sel55f18z_sonnar_t_fe_55mm.html/BI/19619/KBID/12129/DFF/d10-v21-t1-x466841/SID/EZ","link*")</f>
        <v>link*</v>
      </c>
      <c r="M57" s="113" t="s">
        <v>51</v>
      </c>
      <c r="N57" s="79"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57" s="84">
        <v>50</v>
      </c>
      <c r="P57" s="70" t="s">
        <v>27</v>
      </c>
      <c r="Q57" s="74">
        <v>9</v>
      </c>
      <c r="R57" s="112">
        <v>43592</v>
      </c>
      <c r="S57" s="74" t="s">
        <v>41</v>
      </c>
      <c r="T57" s="88">
        <v>41548</v>
      </c>
    </row>
    <row r="58" spans="1:21" ht="13">
      <c r="A58" s="126" t="str">
        <f>HYPERLINK("https://phillipreeve.net/blog/voigtlander-65-f2-apo-macro-review/","Voigtlander Macro 65mm F2 Apo Lanthar")</f>
        <v>Voigtlander Macro 65mm F2 Apo Lanthar</v>
      </c>
      <c r="B58" s="60">
        <v>635</v>
      </c>
      <c r="C58" s="62">
        <v>65</v>
      </c>
      <c r="D58" s="64">
        <v>2</v>
      </c>
      <c r="E58" s="194">
        <v>78</v>
      </c>
      <c r="F58" s="195">
        <v>91</v>
      </c>
      <c r="G58" s="74" t="s">
        <v>25</v>
      </c>
      <c r="H58" s="72" t="s">
        <v>73</v>
      </c>
      <c r="I58" s="320">
        <v>0.5</v>
      </c>
      <c r="J58" s="76">
        <v>999</v>
      </c>
      <c r="K58" s="79" t="str">
        <f>HYPERLINK("https://amzn.to/2LU48SI","link*")</f>
        <v>link*</v>
      </c>
      <c r="L58" s="79" t="str">
        <f>HYPERLINK("https://www.bhphotovideo.com/c/product/1350400-REG/voigtlander_macro_apo_lanthar_65mm_f2.html/BI/19619/KBID/12129/DFF/d10-v21-t1-x835677/SID/EZ","link*")</f>
        <v>link*</v>
      </c>
      <c r="M58" s="113" t="s">
        <v>51</v>
      </c>
      <c r="N58" s="79"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O58" s="84">
        <v>31</v>
      </c>
      <c r="P58" s="70" t="s">
        <v>27</v>
      </c>
      <c r="Q58" s="74">
        <v>10</v>
      </c>
      <c r="R58" s="112">
        <v>43687</v>
      </c>
      <c r="S58" s="74" t="s">
        <v>29</v>
      </c>
      <c r="T58" s="290">
        <v>42917</v>
      </c>
    </row>
    <row r="59" spans="1:21" ht="13">
      <c r="A59" s="58" t="s">
        <v>167</v>
      </c>
      <c r="B59" s="60">
        <v>562</v>
      </c>
      <c r="C59" s="62">
        <v>70</v>
      </c>
      <c r="D59" s="64">
        <v>2.8</v>
      </c>
      <c r="E59" s="194">
        <v>71</v>
      </c>
      <c r="F59" s="195">
        <v>106</v>
      </c>
      <c r="G59" s="74" t="s">
        <v>36</v>
      </c>
      <c r="H59" s="72" t="s">
        <v>124</v>
      </c>
      <c r="I59" s="263">
        <v>1</v>
      </c>
      <c r="J59" s="241">
        <v>569</v>
      </c>
      <c r="K59" s="79" t="str">
        <f>HYPERLINK("https://amzn.to/2YGO9te","link*")</f>
        <v>link*</v>
      </c>
      <c r="L59" s="79" t="str">
        <f>HYPERLINK("https://www.bhphotovideo.com/c/product/1393483-REG/sigma_70mm_f_2_8_dg_macro.html/BI/19619/KBID/12129/DFF/d10-v21-t1-x895111/SID/EZ","link*")</f>
        <v>link*</v>
      </c>
      <c r="M59" s="113" t="s">
        <v>51</v>
      </c>
      <c r="N59" s="79" t="e">
        <f>HYPERLINK("http://rover.ebay.com/rover/1/711-53200-19255-0/1?icep_ff3=9&amp;pub=5575076376&amp;toolid=10001&amp;campid=5338164340&amp;customid=&amp;icep_uq=sigma+70+2.8+macro+sony&amp;icep_sellerId=&amp;icep_ex_kw=&amp;icep_sortBy=12&amp;icep_catId=3323&amp;icep_minPrice=&amp;icep_maxPrice=&amp;ipn=psmain&amp;icep_ve"&amp;"ctorid=229466&amp;kwid=902099&amp;mtid=824&amp;kw=lg","link*")</f>
        <v>#VALUE!</v>
      </c>
      <c r="O59" s="84">
        <v>26</v>
      </c>
      <c r="P59" s="70" t="s">
        <v>27</v>
      </c>
      <c r="Q59" s="74">
        <v>9</v>
      </c>
      <c r="R59" s="112">
        <v>43751</v>
      </c>
      <c r="S59" s="74" t="s">
        <v>47</v>
      </c>
      <c r="T59" s="88">
        <v>43221</v>
      </c>
      <c r="U59" s="77" t="s">
        <v>48</v>
      </c>
    </row>
    <row r="60" spans="1:21" ht="13" hidden="1">
      <c r="A60" s="58" t="s">
        <v>168</v>
      </c>
      <c r="B60" s="60">
        <v>1480</v>
      </c>
      <c r="C60" s="62">
        <v>70</v>
      </c>
      <c r="D60" s="64">
        <v>2.8</v>
      </c>
      <c r="E60" s="194">
        <v>88</v>
      </c>
      <c r="F60" s="195">
        <v>200</v>
      </c>
      <c r="G60" s="74" t="s">
        <v>36</v>
      </c>
      <c r="H60" s="72" t="s">
        <v>80</v>
      </c>
      <c r="I60" s="239">
        <v>0.25</v>
      </c>
      <c r="J60" s="76">
        <v>2599</v>
      </c>
      <c r="K60" s="79" t="str">
        <f>HYPERLINK("https://amzn.to/2KbaJGn","link*")</f>
        <v>link*</v>
      </c>
      <c r="L60" s="79" t="str">
        <f>HYPERLINK("https://www.bhphotovideo.com/c/product/1222776-REG/sony_sel70200gm_fe_70_200mm_f_2_8_gm.html/BI/19619/KBID/12129/DFF/d10-v21-t1-x746807/SID/EZ","link*")</f>
        <v>link*</v>
      </c>
      <c r="M60" s="113" t="s">
        <v>51</v>
      </c>
      <c r="N60"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60" s="84">
        <v>96</v>
      </c>
      <c r="P60" s="134" t="s">
        <v>66</v>
      </c>
      <c r="Q60" s="74">
        <v>11</v>
      </c>
      <c r="R60" s="115" t="s">
        <v>169</v>
      </c>
      <c r="S60" s="74" t="s">
        <v>41</v>
      </c>
      <c r="T60" s="88">
        <v>42401</v>
      </c>
    </row>
    <row r="61" spans="1:21" ht="13" hidden="1">
      <c r="A61" s="58" t="s">
        <v>170</v>
      </c>
      <c r="B61" s="60">
        <v>854</v>
      </c>
      <c r="C61" s="62">
        <v>70</v>
      </c>
      <c r="D61" s="64" t="s">
        <v>171</v>
      </c>
      <c r="E61" s="194">
        <v>84</v>
      </c>
      <c r="F61" s="195">
        <v>144</v>
      </c>
      <c r="G61" s="74" t="s">
        <v>36</v>
      </c>
      <c r="H61" s="72" t="s">
        <v>64</v>
      </c>
      <c r="I61" s="201">
        <v>0.31</v>
      </c>
      <c r="J61" s="76">
        <v>1198</v>
      </c>
      <c r="K61" s="79" t="str">
        <f>HYPERLINK("https://amzn.to/2SVN1Ao","link*")</f>
        <v>link*</v>
      </c>
      <c r="L61" s="79" t="str">
        <f>HYPERLINK("https://www.bhphotovideo.com/c/product/1242614-REG/sony_sel70300g_fe_70_300mm_f_4_5_5_6_g.html/BI/19619/KBID/12129/DFF/d10-v21-t1-x722726/SID/EZ","link*")</f>
        <v>link*</v>
      </c>
      <c r="M61" s="113" t="s">
        <v>51</v>
      </c>
      <c r="N61"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61" s="84">
        <v>90</v>
      </c>
      <c r="P61" s="134" t="s">
        <v>66</v>
      </c>
      <c r="Q61" s="74">
        <v>9</v>
      </c>
      <c r="R61" s="115" t="s">
        <v>72</v>
      </c>
      <c r="S61" s="74" t="s">
        <v>41</v>
      </c>
      <c r="T61" s="88">
        <v>42430</v>
      </c>
    </row>
    <row r="62" spans="1:21" ht="13" hidden="1">
      <c r="A62" s="126" t="str">
        <f>HYPERLINK("https://phillipreeve.net/blog/review-sony-fe-470-200-g-oss/https://phillipreeve.net/blog/review-sony-fe-470-200-g-oss/","Sony G 4/70-200 OSS")</f>
        <v>Sony G 4/70-200 OSS</v>
      </c>
      <c r="B62" s="60">
        <v>840</v>
      </c>
      <c r="C62" s="62">
        <v>70</v>
      </c>
      <c r="D62" s="64">
        <v>4</v>
      </c>
      <c r="E62" s="194">
        <v>80</v>
      </c>
      <c r="F62" s="195">
        <v>175</v>
      </c>
      <c r="G62" s="74" t="s">
        <v>36</v>
      </c>
      <c r="H62" s="72" t="s">
        <v>64</v>
      </c>
      <c r="I62" s="74">
        <v>0.18</v>
      </c>
      <c r="J62" s="76">
        <v>1498</v>
      </c>
      <c r="K62" s="79" t="str">
        <f>HYPERLINK("http://amzn.to/2fbeX3x","link*")</f>
        <v>link*</v>
      </c>
      <c r="L62" s="79" t="str">
        <f>HYPERLINK("https://www.bhphotovideo.com/c/product/1380865-REG/sony_fe_70_200mm_f_4_g.html/BI/19619/KBID/12129/kw/SO702004F/DFF/d10-v2-t1-xSO702004F","link*")</f>
        <v>link*</v>
      </c>
      <c r="M62" s="79" t="str">
        <f>HYPERLINK("http://amzn.to/2vbFQKj","link*")</f>
        <v>link*</v>
      </c>
      <c r="N62" s="79"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62" s="84">
        <v>100</v>
      </c>
      <c r="P62" s="134" t="s">
        <v>66</v>
      </c>
      <c r="Q62" s="74">
        <v>9</v>
      </c>
      <c r="R62" s="115" t="s">
        <v>173</v>
      </c>
      <c r="S62" s="74" t="s">
        <v>41</v>
      </c>
      <c r="T62" s="88">
        <v>41548</v>
      </c>
    </row>
    <row r="63" spans="1:21" ht="13" hidden="1">
      <c r="A63" s="126" t="str">
        <f>HYPERLINK("https://phillipreeve.net/blog/review-sony-fe-85mm-1-4-gm/","Sony GM 1.4/85")</f>
        <v>Sony GM 1.4/85</v>
      </c>
      <c r="B63" s="60">
        <v>854</v>
      </c>
      <c r="C63" s="62">
        <v>85</v>
      </c>
      <c r="D63" s="64">
        <v>1.4</v>
      </c>
      <c r="E63" s="194">
        <v>84</v>
      </c>
      <c r="F63" s="195">
        <v>108</v>
      </c>
      <c r="G63" s="74" t="s">
        <v>36</v>
      </c>
      <c r="H63" s="72" t="s">
        <v>80</v>
      </c>
      <c r="I63" s="74">
        <v>0.12</v>
      </c>
      <c r="J63" s="76">
        <v>1799</v>
      </c>
      <c r="K63" s="79" t="str">
        <f>HYPERLINK("https://amzn.to/2SZeKAh","link*")</f>
        <v>link*</v>
      </c>
      <c r="L63" s="79" t="str">
        <f>HYPERLINK("https://www.bhphotovideo.com/c/product/1222775-REG/sony_sel85f14gm_fe_85mm_f_1_4_gm.html/BI/19619/KBID/12129/DFF/d10-v21-t1-x707644/SID/EZ","link*")</f>
        <v>link*</v>
      </c>
      <c r="M63" s="113" t="s">
        <v>51</v>
      </c>
      <c r="N63" s="7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63" s="84">
        <v>80</v>
      </c>
      <c r="P63" s="70" t="s">
        <v>27</v>
      </c>
      <c r="Q63" s="74">
        <v>11</v>
      </c>
      <c r="R63" s="112">
        <v>43688</v>
      </c>
      <c r="S63" s="74" t="s">
        <v>41</v>
      </c>
      <c r="T63" s="88">
        <v>42401</v>
      </c>
    </row>
    <row r="64" spans="1:21" ht="13" hidden="1">
      <c r="A64" s="58" t="s">
        <v>174</v>
      </c>
      <c r="B64" s="60">
        <v>1130</v>
      </c>
      <c r="C64" s="62">
        <v>85</v>
      </c>
      <c r="D64" s="64">
        <v>1.4</v>
      </c>
      <c r="E64" s="194">
        <v>95</v>
      </c>
      <c r="F64" s="195">
        <v>152</v>
      </c>
      <c r="G64" s="74" t="s">
        <v>36</v>
      </c>
      <c r="H64" s="269" t="s">
        <v>175</v>
      </c>
      <c r="I64" s="74">
        <v>0.12</v>
      </c>
      <c r="J64" s="76">
        <v>1199</v>
      </c>
      <c r="K64" s="79" t="str">
        <f>HYPERLINK("https://amzn.to/2MBd68k","link*")</f>
        <v>link*</v>
      </c>
      <c r="L64" s="79" t="str">
        <f>HYPERLINK("https://www.bhphotovideo.com/c/product/1393494-REG/sigma_85mm_f_1_4_dg_hsm.html/BI/19619/KBID/12129/kw/SI8514SO/DFF/d10-v2-t1-xSI8514SO","link*")</f>
        <v>link*</v>
      </c>
      <c r="M64" s="79" t="str">
        <f>HYPERLINK("https://amzn.to/2Wto6JH","link*")</f>
        <v>link*</v>
      </c>
      <c r="N64" s="79"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O64" s="84">
        <v>85</v>
      </c>
      <c r="P64" s="70" t="s">
        <v>27</v>
      </c>
      <c r="Q64" s="74">
        <v>9</v>
      </c>
      <c r="R64" s="112">
        <v>43724</v>
      </c>
      <c r="S64" s="74" t="s">
        <v>47</v>
      </c>
      <c r="T64" s="88">
        <v>43221</v>
      </c>
      <c r="U64" s="77" t="s">
        <v>48</v>
      </c>
    </row>
    <row r="65" spans="1:21" ht="13">
      <c r="A65" s="58" t="s">
        <v>176</v>
      </c>
      <c r="B65" s="60">
        <v>568</v>
      </c>
      <c r="C65" s="62">
        <v>85</v>
      </c>
      <c r="D65" s="64">
        <v>1.4</v>
      </c>
      <c r="E65" s="194">
        <v>88</v>
      </c>
      <c r="F65" s="195">
        <v>100</v>
      </c>
      <c r="G65" s="74" t="s">
        <v>36</v>
      </c>
      <c r="H65" s="72" t="s">
        <v>80</v>
      </c>
      <c r="I65" s="74">
        <v>0.11</v>
      </c>
      <c r="J65" s="156">
        <v>699</v>
      </c>
      <c r="K65" s="79" t="str">
        <f>HYPERLINK("https://amzn.to/2T0yJ1A","link*")</f>
        <v>link*</v>
      </c>
      <c r="L65" s="79" t="str">
        <f>HYPERLINK("https://www.bhphotovideo.com/c/product/1470654-REG/samyang_syio85af_e_af_85mm_f_1_4_lens.html/BI/19619/KBID/12129/DFF/d10-v21-t1-x955078/SID/EZ","link*")</f>
        <v>link*</v>
      </c>
      <c r="M65" s="113" t="s">
        <v>51</v>
      </c>
      <c r="N65"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65" s="84">
        <v>90</v>
      </c>
      <c r="P65" s="70" t="s">
        <v>27</v>
      </c>
      <c r="Q65" s="74">
        <v>9</v>
      </c>
      <c r="R65" s="112">
        <v>43688</v>
      </c>
      <c r="S65" s="74" t="s">
        <v>38</v>
      </c>
      <c r="T65" s="88">
        <v>43586</v>
      </c>
    </row>
    <row r="66" spans="1:21" ht="13">
      <c r="A66" s="126" t="str">
        <f>HYPERLINK("https://phillipreeve.net/blog/review-sony-fe-85-mm-1-8/","Sony FE 85mm f/1.8")</f>
        <v>Sony FE 85mm f/1.8</v>
      </c>
      <c r="B66" s="60">
        <v>371</v>
      </c>
      <c r="C66" s="62">
        <v>85</v>
      </c>
      <c r="D66" s="64">
        <v>1.8</v>
      </c>
      <c r="E66" s="194">
        <v>77</v>
      </c>
      <c r="F66" s="195">
        <v>82</v>
      </c>
      <c r="G66" s="74" t="s">
        <v>36</v>
      </c>
      <c r="H66" s="72" t="s">
        <v>73</v>
      </c>
      <c r="I66" s="74">
        <v>0.13</v>
      </c>
      <c r="J66" s="156">
        <v>599</v>
      </c>
      <c r="K66" s="79" t="str">
        <f>HYPERLINK("https://amzn.to/2YB4RxU","link*")</f>
        <v>link*</v>
      </c>
      <c r="L66" s="79" t="str">
        <f t="shared" ref="L66:L67" si="2">HYPERLINK("https://www.bhphotovideo.com/c/product/1140833-REG/zeiss_2103_751_85mm_f_1_8_batis_short.html/BI/19619/KBID/12129/DFF/d10-v21-t1-x627139/SID/EZ","link*")</f>
        <v>link*</v>
      </c>
      <c r="M66" s="113" t="s">
        <v>51</v>
      </c>
      <c r="N66"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66" s="84">
        <v>80</v>
      </c>
      <c r="P66" s="70" t="s">
        <v>27</v>
      </c>
      <c r="Q66" s="74">
        <v>9</v>
      </c>
      <c r="R66" s="112">
        <v>43686</v>
      </c>
      <c r="S66" s="74" t="s">
        <v>41</v>
      </c>
      <c r="T66" s="88">
        <v>42767</v>
      </c>
    </row>
    <row r="67" spans="1:21" ht="13" hidden="1">
      <c r="A67" s="126" t="str">
        <f>HYPERLINK("https://phillipreeve.net/blog/zeiss-batis-sonnar-t-85mm-f1-8-a-review/","Zeiss Batis 1.8/85")</f>
        <v>Zeiss Batis 1.8/85</v>
      </c>
      <c r="B67" s="60">
        <v>475</v>
      </c>
      <c r="C67" s="62">
        <v>85</v>
      </c>
      <c r="D67" s="64">
        <v>1.8</v>
      </c>
      <c r="E67" s="194">
        <v>92</v>
      </c>
      <c r="F67" s="195">
        <v>81</v>
      </c>
      <c r="G67" s="74" t="s">
        <v>36</v>
      </c>
      <c r="H67" s="72" t="s">
        <v>73</v>
      </c>
      <c r="I67" s="74">
        <v>0.13</v>
      </c>
      <c r="J67" s="76">
        <v>1199</v>
      </c>
      <c r="K67" s="79" t="str">
        <f>HYPERLINK("https://amzn.to/2T8oWqt","link*")</f>
        <v>link*</v>
      </c>
      <c r="L67" s="79" t="str">
        <f t="shared" si="2"/>
        <v>link*</v>
      </c>
      <c r="M67" s="113" t="s">
        <v>51</v>
      </c>
      <c r="N67"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67" s="84">
        <v>80</v>
      </c>
      <c r="P67" s="134" t="s">
        <v>66</v>
      </c>
      <c r="Q67" s="74">
        <v>9</v>
      </c>
      <c r="R67" s="112">
        <v>43688</v>
      </c>
      <c r="S67" s="74" t="s">
        <v>87</v>
      </c>
      <c r="T67" s="88">
        <v>42125</v>
      </c>
    </row>
    <row r="68" spans="1:21" ht="13">
      <c r="A68" s="58" t="s">
        <v>197</v>
      </c>
      <c r="B68" s="60">
        <v>665</v>
      </c>
      <c r="C68" s="62">
        <v>85</v>
      </c>
      <c r="D68" s="64">
        <v>1.8</v>
      </c>
      <c r="E68" s="194">
        <v>79</v>
      </c>
      <c r="F68" s="195">
        <v>92</v>
      </c>
      <c r="G68" s="74" t="s">
        <v>25</v>
      </c>
      <c r="H68" s="72" t="s">
        <v>64</v>
      </c>
      <c r="I68" s="74">
        <v>0.13</v>
      </c>
      <c r="J68" s="76">
        <v>299</v>
      </c>
      <c r="K68" s="79" t="str">
        <f>HYPERLINK("https://amzn.to/2LVVOBV","link*")</f>
        <v>link*</v>
      </c>
      <c r="L68" s="79" t="str">
        <f>HYPERLINK("https://www.bhphotovideo.com/c/product/1469189-REG/viltrox_pfu_rbmh_85mm_f1_8_e_mount_85mm_f_1_8_for_sony.html/BI/19619/KBID/12129/DFF/d10-v21-t1-x954301/SID/EZ","link*")</f>
        <v>link*</v>
      </c>
      <c r="M68" s="113" t="s">
        <v>51</v>
      </c>
      <c r="N68" s="79"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O68" s="84">
        <v>80</v>
      </c>
      <c r="P68" s="70" t="s">
        <v>27</v>
      </c>
      <c r="Q68" s="74">
        <v>9</v>
      </c>
      <c r="R68" s="112">
        <v>43656</v>
      </c>
      <c r="S68" s="74" t="s">
        <v>106</v>
      </c>
      <c r="T68" s="292">
        <v>43586</v>
      </c>
      <c r="U68" s="77" t="s">
        <v>200</v>
      </c>
    </row>
    <row r="69" spans="1:21" ht="13">
      <c r="A69" s="58" t="s">
        <v>177</v>
      </c>
      <c r="B69" s="60">
        <v>636</v>
      </c>
      <c r="C69" s="62">
        <v>85</v>
      </c>
      <c r="D69" s="64">
        <v>1.8</v>
      </c>
      <c r="E69" s="194">
        <v>79</v>
      </c>
      <c r="F69" s="195">
        <v>92</v>
      </c>
      <c r="G69" s="74" t="s">
        <v>36</v>
      </c>
      <c r="H69" s="72" t="s">
        <v>64</v>
      </c>
      <c r="I69" s="74">
        <v>0.13</v>
      </c>
      <c r="J69" s="76">
        <v>379</v>
      </c>
      <c r="K69" s="79" t="str">
        <f>HYPERLINK("https://amzn.to/2SZfd5v","link*")</f>
        <v>link*</v>
      </c>
      <c r="L69" s="79" t="str">
        <f>HYPERLINK("https://www.bhphotovideo.com/c/product/1470585-REG/viltrox_pfu_rbmh_85mm_f1_8_stm_e_mount_85mm_f_1_8_lens_for.html/BI/19619/KBID/12129/DFF/d10-v21-t1-x955239/SID/EZ","link*")</f>
        <v>link*</v>
      </c>
      <c r="M69" s="113" t="s">
        <v>51</v>
      </c>
      <c r="N69"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69" s="84">
        <v>80</v>
      </c>
      <c r="P69" s="70" t="s">
        <v>27</v>
      </c>
      <c r="Q69" s="74">
        <v>9</v>
      </c>
      <c r="R69" s="112">
        <v>43656</v>
      </c>
      <c r="S69" s="74" t="s">
        <v>106</v>
      </c>
      <c r="T69" s="88">
        <v>43586</v>
      </c>
    </row>
    <row r="70" spans="1:21" ht="13" hidden="1">
      <c r="A70" s="126" t="str">
        <f>HYPERLINK("https://phillipreeve.net/blog/rolling-review-zeiss-loxia-85mm-2-4/","Zeiss Loxia 2.4/85")</f>
        <v>Zeiss Loxia 2.4/85</v>
      </c>
      <c r="B70" s="60">
        <v>594</v>
      </c>
      <c r="C70" s="62">
        <v>85</v>
      </c>
      <c r="D70" s="64">
        <v>2.4</v>
      </c>
      <c r="E70" s="194">
        <v>63</v>
      </c>
      <c r="F70" s="195">
        <v>95</v>
      </c>
      <c r="G70" s="74" t="s">
        <v>25</v>
      </c>
      <c r="H70" s="72" t="s">
        <v>131</v>
      </c>
      <c r="I70" s="74">
        <v>0.14000000000000001</v>
      </c>
      <c r="J70" s="76">
        <v>1399</v>
      </c>
      <c r="K70" s="79" t="str">
        <f>HYPERLINK("https://amzn.to/2SY4PLd","link*")</f>
        <v>link*</v>
      </c>
      <c r="L70" s="79" t="str">
        <f>HYPERLINK("https://www.bhphotovideo.com/c/product/1282150-REG/zeiss_2162_636_loxia_85mm_f_2_4_lens.html/BI/19619/KBID/12129/DFF/d10-v21-t1-x762761/SID/EZ","link*")</f>
        <v>link*</v>
      </c>
      <c r="M70" s="113" t="s">
        <v>51</v>
      </c>
      <c r="N70" s="79"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O70" s="84">
        <v>80</v>
      </c>
      <c r="P70" s="70" t="s">
        <v>27</v>
      </c>
      <c r="Q70" s="74">
        <v>10</v>
      </c>
      <c r="R70" s="112">
        <v>43653</v>
      </c>
      <c r="S70" s="74" t="s">
        <v>87</v>
      </c>
      <c r="T70" s="88">
        <v>42644</v>
      </c>
    </row>
    <row r="71" spans="1:21" ht="13" hidden="1">
      <c r="A71" s="126" t="str">
        <f>HYPERLINK("https://phillipreeve.net/blog/review-sony-fe-90mm-f2-8-macro-oss-one-of-sonys-finest/","Sony 2.8/90 G OSS")</f>
        <v>Sony 2.8/90 G OSS</v>
      </c>
      <c r="B71" s="60">
        <v>602</v>
      </c>
      <c r="C71" s="62">
        <v>90</v>
      </c>
      <c r="D71" s="64">
        <v>2.8</v>
      </c>
      <c r="E71" s="194">
        <v>79</v>
      </c>
      <c r="F71" s="195">
        <v>131</v>
      </c>
      <c r="G71" s="74" t="s">
        <v>36</v>
      </c>
      <c r="H71" s="72" t="s">
        <v>101</v>
      </c>
      <c r="I71" s="263">
        <v>1</v>
      </c>
      <c r="J71" s="76">
        <v>1099</v>
      </c>
      <c r="K71" s="79" t="str">
        <f>HYPERLINK("http://amzn.to/2fbeX3x","link*")</f>
        <v>link*</v>
      </c>
      <c r="L71" s="79" t="str">
        <f>HYPERLINK("https://www.bhphotovideo.com/c/product/1380868-REG/sony_fe_90mm_f_2_8_macro.html/BI/19619/KBID/12129/kw/SO9028F/DFF/d10-v2-t1-xSO9028F","link*")</f>
        <v>link*</v>
      </c>
      <c r="M71" s="79" t="str">
        <f>HYPERLINK("http://amzn.to/2vvvHcw","link*")</f>
        <v>link*</v>
      </c>
      <c r="N71"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71" s="84">
        <v>28</v>
      </c>
      <c r="P71" s="134" t="s">
        <v>66</v>
      </c>
      <c r="Q71" s="74">
        <v>9</v>
      </c>
      <c r="R71" s="112">
        <v>43784</v>
      </c>
      <c r="S71" s="74" t="s">
        <v>41</v>
      </c>
      <c r="T71" s="88">
        <v>42064</v>
      </c>
    </row>
    <row r="72" spans="1:21" ht="13" hidden="1">
      <c r="A72" s="126" t="str">
        <f>HYPERLINK("https://phillipreeve.net/blog/review-sony-fe-100-f-2-8-stf-gm-oss-lens/","Sony GM 2.8/100 STF OSS")</f>
        <v>Sony GM 2.8/100 STF OSS</v>
      </c>
      <c r="B72" s="60">
        <v>700</v>
      </c>
      <c r="C72" s="62">
        <v>100</v>
      </c>
      <c r="D72" s="64">
        <v>2.8</v>
      </c>
      <c r="E72" s="194">
        <v>85</v>
      </c>
      <c r="F72" s="195">
        <v>118</v>
      </c>
      <c r="G72" s="74" t="s">
        <v>36</v>
      </c>
      <c r="H72" s="72" t="s">
        <v>64</v>
      </c>
      <c r="I72" s="239">
        <v>0.25</v>
      </c>
      <c r="J72" s="76">
        <v>1499</v>
      </c>
      <c r="K72" s="79" t="str">
        <f>HYPERLINK("https://amzn.to/2YD8rn4","link*")</f>
        <v>link*</v>
      </c>
      <c r="L72" s="79" t="str">
        <f>HYPERLINK("https://www.bhphotovideo.com/c/product/1317561-REG/sony_sel100f28gm_fe_100mm_f_2_8_stf.html/BI/19619/KBID/12129/DFF/d10-v21-t1-x795192/SID/EZ","link*")</f>
        <v>link*</v>
      </c>
      <c r="M72" s="113" t="s">
        <v>51</v>
      </c>
      <c r="N72" s="7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72" s="84">
        <v>57</v>
      </c>
      <c r="P72" s="134" t="s">
        <v>66</v>
      </c>
      <c r="Q72" s="74">
        <v>11</v>
      </c>
      <c r="R72" s="112">
        <v>43752</v>
      </c>
      <c r="S72" s="74" t="s">
        <v>41</v>
      </c>
      <c r="T72" s="88">
        <v>42767</v>
      </c>
      <c r="U72" s="77" t="s">
        <v>178</v>
      </c>
    </row>
    <row r="73" spans="1:21" ht="13">
      <c r="A73" s="126" t="str">
        <f>HYPERLINK("https://phillipreeve.net/blog/review-tokina-firin-100mm-f2-8-fe-macro/","Tokina Firin 2.8/100 Macro")</f>
        <v>Tokina Firin 2.8/100 Macro</v>
      </c>
      <c r="B73" s="60">
        <v>570</v>
      </c>
      <c r="C73" s="62">
        <v>100</v>
      </c>
      <c r="D73" s="64">
        <v>2.8</v>
      </c>
      <c r="E73" s="194">
        <v>74</v>
      </c>
      <c r="F73" s="176">
        <v>123</v>
      </c>
      <c r="G73" s="74" t="s">
        <v>36</v>
      </c>
      <c r="H73" s="72" t="s">
        <v>147</v>
      </c>
      <c r="I73" s="263">
        <v>1</v>
      </c>
      <c r="J73" s="184">
        <v>599</v>
      </c>
      <c r="K73" s="79" t="str">
        <f>HYPERLINK("http://amzn.to/2fbeX3x","link*")</f>
        <v>link*</v>
      </c>
      <c r="L73" s="79" t="str">
        <f>HYPERLINK("https://www.bhphotovideo.com/c/product/1473390-REG/tokina_frn_afm100fxse_firin_100mm_f_2_8_fe.html/BI/19619/KBID/12129/kw/TO100AF/DFF/d10-v2-t1-xTO100AF","link*")</f>
        <v>link*</v>
      </c>
      <c r="M73" s="79"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N73"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73" s="84">
        <v>30</v>
      </c>
      <c r="P73" s="70" t="s">
        <v>27</v>
      </c>
      <c r="Q73" s="74">
        <v>9</v>
      </c>
      <c r="R73" s="112">
        <v>43686</v>
      </c>
      <c r="S73" s="74" t="s">
        <v>103</v>
      </c>
      <c r="T73" s="88">
        <v>43617</v>
      </c>
      <c r="U73" s="77" t="s">
        <v>48</v>
      </c>
    </row>
    <row r="74" spans="1:21" ht="13" hidden="1">
      <c r="A74" s="58" t="s">
        <v>179</v>
      </c>
      <c r="B74" s="60">
        <v>1395</v>
      </c>
      <c r="C74" s="62">
        <v>100</v>
      </c>
      <c r="D74" s="64" t="s">
        <v>171</v>
      </c>
      <c r="E74" s="194">
        <v>94</v>
      </c>
      <c r="F74" s="176">
        <v>205</v>
      </c>
      <c r="G74" s="74" t="s">
        <v>36</v>
      </c>
      <c r="H74" s="72" t="s">
        <v>80</v>
      </c>
      <c r="I74" s="239">
        <v>0.35</v>
      </c>
      <c r="J74" s="76">
        <v>2499</v>
      </c>
      <c r="K74" s="79" t="str">
        <f>HYPERLINK("https://amzn.to/2SZ0aZO","link*")</f>
        <v>link*</v>
      </c>
      <c r="L74" s="79" t="str">
        <f>HYPERLINK("https://www.bhphotovideo.com/c/product/1333230-REG/sony_sel100400gm_fe_100_400mm_f_4_5_5_6_gm.html/BI/19619/KBID/12129/DFF/d10-v21-t1-x817745/SID/EZ","link*")</f>
        <v>link*</v>
      </c>
      <c r="M74" s="113" t="s">
        <v>51</v>
      </c>
      <c r="N74" s="79"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74" s="84">
        <v>98</v>
      </c>
      <c r="P74" s="134" t="s">
        <v>66</v>
      </c>
      <c r="Q74" s="74">
        <v>11</v>
      </c>
      <c r="R74" s="115" t="s">
        <v>180</v>
      </c>
      <c r="S74" s="74" t="s">
        <v>41</v>
      </c>
      <c r="T74" s="88">
        <v>42826</v>
      </c>
    </row>
    <row r="75" spans="1:21" ht="15.75" hidden="1" customHeight="1">
      <c r="A75" s="58" t="s">
        <v>181</v>
      </c>
      <c r="B75" s="60">
        <v>1600</v>
      </c>
      <c r="C75" s="62">
        <v>105</v>
      </c>
      <c r="D75" s="64">
        <v>1.4</v>
      </c>
      <c r="E75" s="194">
        <v>116</v>
      </c>
      <c r="F75" s="176">
        <v>132</v>
      </c>
      <c r="G75" s="74" t="s">
        <v>36</v>
      </c>
      <c r="H75" s="278" t="s">
        <v>182</v>
      </c>
      <c r="I75" s="74">
        <v>0.12</v>
      </c>
      <c r="J75" s="76">
        <v>1599</v>
      </c>
      <c r="K75" s="79" t="str">
        <f>HYPERLINK("https://amzn.to/2EWeThZ","link*")</f>
        <v>link*</v>
      </c>
      <c r="L75" s="79" t="str">
        <f>HYPERLINK("https://www.bhphotovideo.com/c/product/1393488-REG/sigma_105mm_f_1_4_dg_hsm.html/BI/19619/KBID/12129/kw/SI10514SO/DFF/d10-v2-t1-xSI10514SO","link*")</f>
        <v>link*</v>
      </c>
      <c r="M75" s="79" t="str">
        <f>HYPERLINK("https://amzn.to/2WpOvTy","link*")</f>
        <v>link*</v>
      </c>
      <c r="N75" s="79" t="e">
        <f>HYPERLINK("http://rover.ebay.com/rover/1/711-53200-19255-0/1?icep_ff3=9&amp;pub=5575076376&amp;toolid=10001&amp;campid=5338164340&amp;customid=&amp;icep_uq=sigma+art+100+1.4+sony&amp;icep_sellerId=&amp;icep_ex_kw=&amp;icep_sortBy=12&amp;icep_catId=3323&amp;icep_minPrice=&amp;icep_maxPrice=&amp;ipn=psmain&amp;icep_vec"&amp;"torid=229466&amp;kwid=902099&amp;mtid=824&amp;kw=lg","link*")</f>
        <v>#VALUE!</v>
      </c>
      <c r="O75" s="84">
        <v>100</v>
      </c>
      <c r="P75" s="70" t="s">
        <v>27</v>
      </c>
      <c r="Q75" s="74">
        <v>9</v>
      </c>
      <c r="R75" s="112">
        <v>43816</v>
      </c>
      <c r="S75" s="74" t="s">
        <v>183</v>
      </c>
      <c r="T75" s="88">
        <v>43221</v>
      </c>
      <c r="U75" s="77" t="s">
        <v>48</v>
      </c>
    </row>
    <row r="76" spans="1:21" ht="13" hidden="1">
      <c r="A76" s="126" t="str">
        <f>HYPERLINK("https://phillipreeve.net/blog/voigtlander-110mm-f2-5-apo-review/","Voigtlander 110mm F2.5 APO Macro")</f>
        <v>Voigtlander 110mm F2.5 APO Macro</v>
      </c>
      <c r="B76" s="60">
        <v>771</v>
      </c>
      <c r="C76" s="62">
        <v>110</v>
      </c>
      <c r="D76" s="64">
        <v>2.5</v>
      </c>
      <c r="E76" s="194">
        <v>78</v>
      </c>
      <c r="F76" s="195">
        <v>100</v>
      </c>
      <c r="G76" s="74" t="s">
        <v>25</v>
      </c>
      <c r="H76" s="72" t="s">
        <v>71</v>
      </c>
      <c r="I76" s="263">
        <v>1</v>
      </c>
      <c r="J76" s="76">
        <v>1099</v>
      </c>
      <c r="K76" s="79" t="str">
        <f>HYPERLINK("https://amzn.to/2SXYsrm","link*")</f>
        <v>link*</v>
      </c>
      <c r="L76" s="79" t="str">
        <f>HYPERLINK("https://www.bhphotovideo.com/c/product/1418780-REG/voigtlander_ba349a_macro_apo_lanthar_110mm_f_2_5.html/BI/19619/KBID/12129/kw/VO11025/DFF/d10-v2-t1-xVO11025","link*")</f>
        <v>link*</v>
      </c>
      <c r="M76" s="113" t="s">
        <v>51</v>
      </c>
      <c r="N76" s="79"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O76" s="84">
        <v>35</v>
      </c>
      <c r="P76" s="70" t="s">
        <v>27</v>
      </c>
      <c r="Q76" s="74">
        <v>10</v>
      </c>
      <c r="R76" s="112">
        <v>43813</v>
      </c>
      <c r="S76" s="74" t="s">
        <v>29</v>
      </c>
      <c r="T76" s="88">
        <v>43405</v>
      </c>
    </row>
    <row r="77" spans="1:21" ht="13" hidden="1">
      <c r="A77" s="126" t="str">
        <f>HYPERLINK("https://phillipreeve.net/blog/review-sony-fe-135mm-f1-8-gm/","Sony 1.8/135 GM")</f>
        <v>Sony 1.8/135 GM</v>
      </c>
      <c r="B77" s="60">
        <v>950</v>
      </c>
      <c r="C77" s="62">
        <v>135</v>
      </c>
      <c r="D77" s="64">
        <v>1.8</v>
      </c>
      <c r="E77" s="194">
        <v>90</v>
      </c>
      <c r="F77" s="195">
        <v>127</v>
      </c>
      <c r="G77" s="74" t="s">
        <v>36</v>
      </c>
      <c r="H77" s="236" t="s">
        <v>68</v>
      </c>
      <c r="I77" s="239">
        <v>0.25</v>
      </c>
      <c r="J77" s="76">
        <v>1899</v>
      </c>
      <c r="K77" s="79" t="str">
        <f>HYPERLINK("https://amzn.to/2WtonMJ","link*")</f>
        <v>link*</v>
      </c>
      <c r="L77" s="79" t="str">
        <f>HYPERLINK("https://www.bhphotovideo.com/c/product/1393495-REG/sigma_135mm_f_1_8_dg_hsm.html/BI/19619/KBID/12129/kw/SI13518SO/DFF/d10-v2-t1-xSI13518SO","link*")</f>
        <v>link*</v>
      </c>
      <c r="M77" s="79" t="str">
        <f>HYPERLINK("https://amzn.to/2Z9KKDE","link*")</f>
        <v>link*</v>
      </c>
      <c r="N77" s="7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77" s="84">
        <v>70</v>
      </c>
      <c r="P77" s="70" t="s">
        <v>27</v>
      </c>
      <c r="Q77" s="74">
        <v>11</v>
      </c>
      <c r="R77" s="112">
        <v>43751</v>
      </c>
      <c r="S77" s="74" t="s">
        <v>41</v>
      </c>
      <c r="T77" s="88">
        <v>43525</v>
      </c>
    </row>
    <row r="78" spans="1:21" ht="13" hidden="1">
      <c r="A78" s="58" t="s">
        <v>185</v>
      </c>
      <c r="B78" s="60">
        <v>1130</v>
      </c>
      <c r="C78" s="62">
        <v>135</v>
      </c>
      <c r="D78" s="64">
        <v>1.8</v>
      </c>
      <c r="E78" s="194">
        <v>91</v>
      </c>
      <c r="F78" s="195">
        <v>115</v>
      </c>
      <c r="G78" s="74" t="s">
        <v>36</v>
      </c>
      <c r="H78" s="236" t="s">
        <v>68</v>
      </c>
      <c r="I78" s="74">
        <v>0.2</v>
      </c>
      <c r="J78" s="184">
        <v>1399</v>
      </c>
      <c r="K78" s="79" t="str">
        <f>HYPERLINK("https://amzn.to/2yxIM4R","link*")</f>
        <v>link*</v>
      </c>
      <c r="L78" s="79" t="str">
        <f>HYPERLINK("https://www.bhphotovideo.com/c/product/1393495-REG/sigma_135mm_f_1_8_dg_hsm.html/BI/19619/KBID/12129/DFF/d10-v21-t1-x881160/SID/EZ","link*")</f>
        <v>link*</v>
      </c>
      <c r="M78" s="113" t="s">
        <v>51</v>
      </c>
      <c r="N78" s="79"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O78" s="84">
        <v>87</v>
      </c>
      <c r="P78" s="70" t="s">
        <v>27</v>
      </c>
      <c r="Q78" s="74">
        <v>9</v>
      </c>
      <c r="R78" s="112">
        <v>43751</v>
      </c>
      <c r="S78" s="74" t="s">
        <v>47</v>
      </c>
      <c r="T78" s="88">
        <v>43221</v>
      </c>
      <c r="U78" s="77" t="s">
        <v>48</v>
      </c>
    </row>
    <row r="79" spans="1:21" ht="13" hidden="1">
      <c r="A79" s="126" t="str">
        <f>HYPERLINK("https://phillipreeve.net/blog/zeiss-batis-apo-sonnar-t-135mm-f2-8/","Zeiss 2.8/135 APO")</f>
        <v>Zeiss 2.8/135 APO</v>
      </c>
      <c r="B79" s="60">
        <v>614</v>
      </c>
      <c r="C79" s="62">
        <v>135</v>
      </c>
      <c r="D79" s="64">
        <v>2.8</v>
      </c>
      <c r="E79" s="194">
        <v>99</v>
      </c>
      <c r="F79" s="195">
        <v>120</v>
      </c>
      <c r="G79" s="74" t="s">
        <v>36</v>
      </c>
      <c r="H79" s="72" t="s">
        <v>73</v>
      </c>
      <c r="I79" s="74">
        <v>0.19</v>
      </c>
      <c r="J79" s="76">
        <v>1699</v>
      </c>
      <c r="K79" s="79" t="str">
        <f>HYPERLINK("https://amzn.to/319GJA4","link*")</f>
        <v>link*</v>
      </c>
      <c r="L79" s="79" t="str">
        <f>HYPERLINK("https://www.bhphotovideo.com/c/product/1330083-REG/zeiss_2136_695_batis_135mm_f_2_8_lens.html/BI/19619/KBID/12129/DFF/d10-v21-t1-x814884/SID/EZ","link*")</f>
        <v>link*</v>
      </c>
      <c r="M79" s="113" t="s">
        <v>51</v>
      </c>
      <c r="N79" s="79"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79" s="84">
        <v>87</v>
      </c>
      <c r="P79" s="134" t="s">
        <v>66</v>
      </c>
      <c r="Q79" s="74">
        <v>9</v>
      </c>
      <c r="R79" s="112">
        <v>43783</v>
      </c>
      <c r="S79" s="74" t="s">
        <v>87</v>
      </c>
      <c r="T79" s="88">
        <v>42826</v>
      </c>
    </row>
    <row r="80" spans="1:21" ht="13" hidden="1">
      <c r="A80" s="58" t="s">
        <v>186</v>
      </c>
      <c r="B80" s="60">
        <v>2215</v>
      </c>
      <c r="C80" s="62">
        <v>200</v>
      </c>
      <c r="D80" s="64" t="s">
        <v>187</v>
      </c>
      <c r="E80" s="194">
        <v>112</v>
      </c>
      <c r="F80" s="195">
        <v>318</v>
      </c>
      <c r="G80" s="74" t="s">
        <v>36</v>
      </c>
      <c r="H80" s="244" t="s">
        <v>152</v>
      </c>
      <c r="I80" s="74">
        <v>0.2</v>
      </c>
      <c r="J80" s="76">
        <v>1999</v>
      </c>
      <c r="K80" s="113"/>
      <c r="L80" s="79" t="str">
        <f>HYPERLINK("https://www.bhphotovideo.com/c/product/1485540-REG/sony_sel200600g_fe_200_600mm_f_5_6_6_3_g.html/BI/19619/KBID/12129/DFF/d10-v21-t1-x968882/SID/EZ","link*")</f>
        <v>link*</v>
      </c>
      <c r="M80" s="113" t="s">
        <v>51</v>
      </c>
      <c r="N80" s="79"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O80" s="84">
        <v>240</v>
      </c>
      <c r="P80" s="134" t="s">
        <v>66</v>
      </c>
      <c r="Q80" s="74">
        <v>11</v>
      </c>
      <c r="R80" s="115" t="s">
        <v>188</v>
      </c>
      <c r="S80" s="74" t="s">
        <v>41</v>
      </c>
      <c r="T80" s="88">
        <v>43647</v>
      </c>
    </row>
    <row r="81" spans="1:20" ht="13" hidden="1">
      <c r="A81" s="58" t="s">
        <v>189</v>
      </c>
      <c r="B81" s="60">
        <v>2895</v>
      </c>
      <c r="C81" s="62">
        <v>400</v>
      </c>
      <c r="D81" s="64">
        <v>2.8</v>
      </c>
      <c r="E81" s="194">
        <v>158</v>
      </c>
      <c r="F81" s="195">
        <v>359</v>
      </c>
      <c r="G81" s="74" t="s">
        <v>36</v>
      </c>
      <c r="H81" s="72" t="s">
        <v>190</v>
      </c>
      <c r="I81" s="74">
        <v>0.16</v>
      </c>
      <c r="J81" s="76">
        <v>11999</v>
      </c>
      <c r="K81" s="113"/>
      <c r="L81" s="79" t="str">
        <f>HYPERLINK("https://www.bhphotovideo.com/c/product/1369634-REG/sony_fe_400mm_f_2_8_gm.html/BI/19619/KBID/12129/DFF/d10-v21-t1-x905722/SID/EZ","link*")</f>
        <v>link*</v>
      </c>
      <c r="M81" s="113" t="s">
        <v>51</v>
      </c>
      <c r="N81" s="79"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O81" s="84">
        <v>270</v>
      </c>
      <c r="P81" s="134" t="s">
        <v>66</v>
      </c>
      <c r="Q81" s="74">
        <v>11</v>
      </c>
      <c r="R81" s="115" t="s">
        <v>191</v>
      </c>
      <c r="S81" s="74" t="s">
        <v>41</v>
      </c>
      <c r="T81" s="88">
        <v>43313</v>
      </c>
    </row>
    <row r="82" spans="1:20" ht="13" hidden="1">
      <c r="A82" s="281" t="s">
        <v>192</v>
      </c>
      <c r="B82" s="282">
        <v>3040</v>
      </c>
      <c r="C82" s="283">
        <v>600</v>
      </c>
      <c r="D82" s="284">
        <v>4</v>
      </c>
      <c r="E82" s="194">
        <v>164</v>
      </c>
      <c r="F82" s="195">
        <v>449</v>
      </c>
      <c r="G82" s="285" t="s">
        <v>36</v>
      </c>
      <c r="H82" s="286" t="s">
        <v>26</v>
      </c>
      <c r="I82" s="285">
        <v>0.14000000000000001</v>
      </c>
      <c r="J82" s="203" t="s">
        <v>193</v>
      </c>
      <c r="K82" s="113"/>
      <c r="L82" s="79" t="str">
        <f>HYPERLINK("https://www.bhphotovideo.com/c/product/1485539-REG/sony_sel600f40gm_fe_600mm_f_4_gm.html/BI/19619/KBID/12129/DFF/d10-v21-t1-x968881/SID/EZ","link*")</f>
        <v>link*</v>
      </c>
      <c r="M82" s="113" t="s">
        <v>51</v>
      </c>
      <c r="N82" s="7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82" s="287">
        <v>451</v>
      </c>
      <c r="P82" s="134" t="s">
        <v>66</v>
      </c>
      <c r="Q82" s="285">
        <v>11</v>
      </c>
      <c r="R82" s="288" t="s">
        <v>195</v>
      </c>
      <c r="S82" s="285" t="s">
        <v>41</v>
      </c>
      <c r="T82" s="289">
        <v>43678</v>
      </c>
    </row>
    <row r="83" spans="1:20" ht="13" hidden="1">
      <c r="A83" s="207"/>
      <c r="B83" s="208"/>
      <c r="C83" s="209"/>
      <c r="D83" s="210"/>
      <c r="E83" s="194"/>
      <c r="F83" s="195"/>
      <c r="G83" s="77"/>
      <c r="H83" s="212"/>
      <c r="I83" s="77"/>
      <c r="J83" s="213"/>
      <c r="K83" s="214"/>
      <c r="L83" s="214"/>
      <c r="M83" s="214"/>
      <c r="N83" s="214"/>
      <c r="O83" s="215"/>
      <c r="P83" s="77"/>
      <c r="Q83" s="77"/>
      <c r="R83" s="77"/>
      <c r="S83" s="77"/>
      <c r="T83" s="290"/>
    </row>
    <row r="84" spans="1:20" ht="13" hidden="1">
      <c r="A84" s="207"/>
      <c r="B84" s="208"/>
      <c r="C84" s="209"/>
      <c r="D84" s="210"/>
      <c r="E84" s="194"/>
      <c r="F84" s="195"/>
      <c r="G84" s="77"/>
      <c r="H84" s="212"/>
      <c r="I84" s="77"/>
      <c r="J84" s="213"/>
      <c r="K84" s="214"/>
      <c r="L84" s="214"/>
      <c r="M84" s="214"/>
      <c r="N84" s="214"/>
      <c r="O84" s="215"/>
      <c r="P84" s="77"/>
      <c r="Q84" s="77"/>
      <c r="R84" s="77"/>
      <c r="S84" s="77"/>
      <c r="T84" s="290"/>
    </row>
    <row r="85" spans="1:20" ht="13" hidden="1">
      <c r="A85" s="207"/>
      <c r="B85" s="208"/>
      <c r="C85" s="209"/>
      <c r="D85" s="210"/>
      <c r="E85" s="194"/>
      <c r="F85" s="195"/>
      <c r="G85" s="77"/>
      <c r="H85" s="212"/>
      <c r="I85" s="77"/>
      <c r="J85" s="213"/>
      <c r="K85" s="214"/>
      <c r="L85" s="214"/>
      <c r="M85" s="214"/>
      <c r="N85" s="214"/>
      <c r="O85" s="215"/>
      <c r="P85" s="77"/>
      <c r="Q85" s="77"/>
      <c r="R85" s="77"/>
      <c r="S85" s="77"/>
      <c r="T85" s="290"/>
    </row>
    <row r="86" spans="1:20" ht="13" hidden="1">
      <c r="A86" s="207"/>
      <c r="B86" s="208"/>
      <c r="C86" s="209"/>
      <c r="D86" s="210"/>
      <c r="E86" s="194"/>
      <c r="F86" s="195"/>
      <c r="G86" s="77"/>
      <c r="H86" s="212"/>
      <c r="I86" s="77"/>
      <c r="J86" s="213"/>
      <c r="K86" s="214"/>
      <c r="L86" s="214"/>
      <c r="M86" s="214"/>
      <c r="N86" s="214"/>
      <c r="O86" s="215"/>
      <c r="P86" s="77"/>
      <c r="Q86" s="77"/>
      <c r="R86" s="77"/>
      <c r="S86" s="77"/>
      <c r="T86" s="290"/>
    </row>
    <row r="87" spans="1:20" ht="13" hidden="1">
      <c r="A87" s="207"/>
      <c r="B87" s="208"/>
      <c r="C87" s="209"/>
      <c r="D87" s="210"/>
      <c r="E87" s="194"/>
      <c r="F87" s="176"/>
      <c r="G87" s="77"/>
      <c r="H87" s="212"/>
      <c r="I87" s="77"/>
      <c r="J87" s="213"/>
      <c r="K87" s="214"/>
      <c r="L87" s="214"/>
      <c r="M87" s="214"/>
      <c r="N87" s="214"/>
      <c r="O87" s="215"/>
      <c r="P87" s="77"/>
      <c r="Q87" s="77"/>
      <c r="R87" s="77"/>
      <c r="S87" s="77"/>
      <c r="T87" s="290"/>
    </row>
    <row r="88" spans="1:20" ht="13" hidden="1">
      <c r="A88" s="207"/>
      <c r="B88" s="208"/>
      <c r="C88" s="209"/>
      <c r="D88" s="210"/>
      <c r="E88" s="194"/>
      <c r="F88" s="195"/>
      <c r="G88" s="77"/>
      <c r="H88" s="212"/>
      <c r="I88" s="77"/>
      <c r="J88" s="213"/>
      <c r="K88" s="214"/>
      <c r="L88" s="214"/>
      <c r="M88" s="214"/>
      <c r="N88" s="214"/>
      <c r="O88" s="215"/>
      <c r="P88" s="77"/>
      <c r="Q88" s="77"/>
      <c r="R88" s="77"/>
      <c r="S88" s="77"/>
      <c r="T88" s="290"/>
    </row>
    <row r="89" spans="1:20" ht="13" hidden="1">
      <c r="A89" s="207"/>
      <c r="B89" s="208"/>
      <c r="C89" s="209"/>
      <c r="D89" s="210"/>
      <c r="E89" s="194"/>
      <c r="F89" s="195"/>
      <c r="G89" s="77"/>
      <c r="H89" s="212"/>
      <c r="I89" s="77"/>
      <c r="J89" s="213"/>
      <c r="K89" s="214"/>
      <c r="L89" s="214"/>
      <c r="M89" s="214"/>
      <c r="N89" s="214"/>
      <c r="O89" s="215"/>
      <c r="P89" s="77"/>
      <c r="Q89" s="77"/>
      <c r="R89" s="77"/>
      <c r="S89" s="77"/>
      <c r="T89" s="290"/>
    </row>
    <row r="90" spans="1:20" ht="13" hidden="1">
      <c r="A90" s="207"/>
      <c r="B90" s="208"/>
      <c r="C90" s="209"/>
      <c r="D90" s="210"/>
      <c r="E90" s="194"/>
      <c r="F90" s="195"/>
      <c r="G90" s="77"/>
      <c r="H90" s="212"/>
      <c r="I90" s="77"/>
      <c r="J90" s="213"/>
      <c r="K90" s="214"/>
      <c r="L90" s="214"/>
      <c r="M90" s="214"/>
      <c r="N90" s="214"/>
      <c r="O90" s="215"/>
      <c r="P90" s="77"/>
      <c r="Q90" s="77"/>
      <c r="R90" s="77"/>
      <c r="S90" s="77"/>
      <c r="T90" s="290"/>
    </row>
    <row r="91" spans="1:20" ht="13" hidden="1">
      <c r="A91" s="207"/>
      <c r="B91" s="208"/>
      <c r="C91" s="209"/>
      <c r="D91" s="210"/>
      <c r="E91" s="194"/>
      <c r="F91" s="195"/>
      <c r="G91" s="77"/>
      <c r="H91" s="212"/>
      <c r="I91" s="77"/>
      <c r="J91" s="213"/>
      <c r="K91" s="214"/>
      <c r="L91" s="214"/>
      <c r="M91" s="214"/>
      <c r="N91" s="214"/>
      <c r="O91" s="215"/>
      <c r="P91" s="77"/>
      <c r="Q91" s="77"/>
      <c r="R91" s="77"/>
      <c r="S91" s="77"/>
      <c r="T91" s="290"/>
    </row>
    <row r="92" spans="1:20" ht="13" hidden="1">
      <c r="A92" s="207"/>
      <c r="B92" s="208"/>
      <c r="C92" s="209"/>
      <c r="D92" s="210"/>
      <c r="E92" s="194"/>
      <c r="F92" s="195"/>
      <c r="G92" s="77"/>
      <c r="H92" s="212"/>
      <c r="I92" s="77"/>
      <c r="J92" s="213"/>
      <c r="K92" s="214"/>
      <c r="L92" s="214"/>
      <c r="M92" s="214"/>
      <c r="N92" s="214"/>
      <c r="O92" s="215"/>
      <c r="P92" s="77"/>
      <c r="Q92" s="77"/>
      <c r="R92" s="77"/>
      <c r="S92" s="77"/>
      <c r="T92" s="290"/>
    </row>
    <row r="93" spans="1:20" ht="13" hidden="1">
      <c r="A93" s="207"/>
      <c r="B93" s="208"/>
      <c r="C93" s="209"/>
      <c r="D93" s="210"/>
      <c r="E93" s="194"/>
      <c r="F93" s="176"/>
      <c r="G93" s="77"/>
      <c r="H93" s="212"/>
      <c r="I93" s="77"/>
      <c r="J93" s="213"/>
      <c r="K93" s="214"/>
      <c r="L93" s="214"/>
      <c r="M93" s="214"/>
      <c r="N93" s="214"/>
      <c r="O93" s="215"/>
      <c r="P93" s="77"/>
      <c r="Q93" s="77"/>
      <c r="R93" s="77"/>
      <c r="S93" s="77"/>
      <c r="T93" s="290"/>
    </row>
    <row r="94" spans="1:20" ht="13" hidden="1">
      <c r="A94" s="207"/>
      <c r="B94" s="208"/>
      <c r="C94" s="209"/>
      <c r="D94" s="210"/>
      <c r="E94" s="194"/>
      <c r="F94" s="195"/>
      <c r="G94" s="77"/>
      <c r="H94" s="212"/>
      <c r="I94" s="77"/>
      <c r="J94" s="213"/>
      <c r="K94" s="214"/>
      <c r="L94" s="214"/>
      <c r="M94" s="214"/>
      <c r="N94" s="214"/>
      <c r="O94" s="215"/>
      <c r="P94" s="77"/>
      <c r="Q94" s="77"/>
      <c r="R94" s="77"/>
      <c r="S94" s="77"/>
      <c r="T94" s="290"/>
    </row>
    <row r="95" spans="1:20" ht="13" hidden="1">
      <c r="A95" s="207"/>
      <c r="B95" s="208"/>
      <c r="C95" s="209"/>
      <c r="D95" s="210"/>
      <c r="E95" s="217"/>
      <c r="F95" s="291"/>
      <c r="G95" s="77"/>
      <c r="H95" s="212"/>
      <c r="I95" s="77"/>
      <c r="J95" s="213"/>
      <c r="K95" s="214"/>
      <c r="L95" s="214"/>
      <c r="M95" s="214"/>
      <c r="N95" s="214"/>
      <c r="O95" s="215"/>
      <c r="P95" s="77"/>
      <c r="Q95" s="77"/>
      <c r="R95" s="77"/>
      <c r="S95" s="77"/>
      <c r="T95" s="290"/>
    </row>
    <row r="96" spans="1:20" ht="13" hidden="1">
      <c r="A96" s="207"/>
      <c r="B96" s="208"/>
      <c r="C96" s="209"/>
      <c r="D96" s="210"/>
      <c r="E96" s="219"/>
      <c r="F96" s="219"/>
      <c r="G96" s="77"/>
      <c r="H96" s="212"/>
      <c r="I96" s="77"/>
      <c r="J96" s="213"/>
      <c r="K96" s="214"/>
      <c r="L96" s="214"/>
      <c r="M96" s="214"/>
      <c r="N96" s="214"/>
      <c r="O96" s="215"/>
      <c r="P96" s="77"/>
      <c r="Q96" s="77"/>
      <c r="R96" s="77"/>
      <c r="S96" s="77"/>
      <c r="T96" s="290"/>
    </row>
    <row r="97" spans="1:20" ht="13" hidden="1">
      <c r="A97" s="207"/>
      <c r="B97" s="208"/>
      <c r="C97" s="209"/>
      <c r="D97" s="210"/>
      <c r="E97" s="219"/>
      <c r="F97" s="219"/>
      <c r="G97" s="77"/>
      <c r="H97" s="212"/>
      <c r="I97" s="77"/>
      <c r="J97" s="213"/>
      <c r="K97" s="214"/>
      <c r="L97" s="214"/>
      <c r="M97" s="214"/>
      <c r="N97" s="214"/>
      <c r="O97" s="215"/>
      <c r="P97" s="77"/>
      <c r="Q97" s="77"/>
      <c r="R97" s="77"/>
      <c r="S97" s="77"/>
      <c r="T97" s="290"/>
    </row>
    <row r="98" spans="1:20" ht="13" hidden="1">
      <c r="A98" s="207"/>
      <c r="B98" s="208"/>
      <c r="C98" s="209"/>
      <c r="D98" s="210"/>
      <c r="E98" s="219"/>
      <c r="F98" s="219"/>
      <c r="G98" s="77"/>
      <c r="H98" s="212"/>
      <c r="I98" s="77"/>
      <c r="J98" s="213"/>
      <c r="K98" s="214"/>
      <c r="L98" s="214"/>
      <c r="M98" s="214"/>
      <c r="N98" s="214"/>
      <c r="O98" s="215"/>
      <c r="P98" s="77"/>
      <c r="Q98" s="77"/>
      <c r="R98" s="77"/>
      <c r="S98" s="77"/>
      <c r="T98" s="290"/>
    </row>
    <row r="99" spans="1:20" ht="13" hidden="1">
      <c r="A99" s="207"/>
      <c r="B99" s="208"/>
      <c r="C99" s="209"/>
      <c r="D99" s="210"/>
      <c r="E99" s="219"/>
      <c r="F99" s="219"/>
      <c r="G99" s="77"/>
      <c r="H99" s="212"/>
      <c r="I99" s="77"/>
      <c r="J99" s="213"/>
      <c r="K99" s="214"/>
      <c r="L99" s="214"/>
      <c r="M99" s="214"/>
      <c r="N99" s="214"/>
      <c r="O99" s="215"/>
      <c r="P99" s="77"/>
      <c r="Q99" s="77"/>
      <c r="R99" s="77"/>
      <c r="S99" s="77"/>
      <c r="T99" s="290"/>
    </row>
    <row r="100" spans="1:20" ht="13" hidden="1">
      <c r="A100" s="207"/>
      <c r="B100" s="208"/>
      <c r="C100" s="209"/>
      <c r="D100" s="210"/>
      <c r="E100" s="219"/>
      <c r="F100" s="219"/>
      <c r="G100" s="77"/>
      <c r="H100" s="212"/>
      <c r="I100" s="77"/>
      <c r="J100" s="213"/>
      <c r="K100" s="214"/>
      <c r="L100" s="214"/>
      <c r="M100" s="214"/>
      <c r="N100" s="214"/>
      <c r="O100" s="215"/>
      <c r="P100" s="77"/>
      <c r="Q100" s="77"/>
      <c r="R100" s="77"/>
      <c r="S100" s="77"/>
      <c r="T100" s="290"/>
    </row>
    <row r="101" spans="1:20" ht="13" hidden="1">
      <c r="A101" s="207"/>
      <c r="B101" s="208"/>
      <c r="C101" s="209"/>
      <c r="D101" s="210"/>
      <c r="E101" s="219"/>
      <c r="F101" s="219"/>
      <c r="G101" s="77"/>
      <c r="H101" s="212"/>
      <c r="I101" s="77"/>
      <c r="J101" s="213"/>
      <c r="K101" s="214"/>
      <c r="L101" s="214"/>
      <c r="M101" s="214"/>
      <c r="N101" s="214"/>
      <c r="O101" s="215"/>
      <c r="P101" s="77"/>
      <c r="Q101" s="77"/>
      <c r="R101" s="77"/>
      <c r="S101" s="77"/>
      <c r="T101" s="290"/>
    </row>
    <row r="102" spans="1:20" ht="13" hidden="1">
      <c r="A102" s="207"/>
      <c r="B102" s="208"/>
      <c r="C102" s="209"/>
      <c r="D102" s="210"/>
      <c r="E102" s="219"/>
      <c r="F102" s="219"/>
      <c r="G102" s="77"/>
      <c r="H102" s="212"/>
      <c r="I102" s="77"/>
      <c r="J102" s="213"/>
      <c r="K102" s="214"/>
      <c r="L102" s="214"/>
      <c r="M102" s="214"/>
      <c r="N102" s="214"/>
      <c r="O102" s="215"/>
      <c r="P102" s="77"/>
      <c r="Q102" s="77"/>
      <c r="R102" s="77"/>
      <c r="S102" s="77"/>
      <c r="T102" s="290"/>
    </row>
    <row r="103" spans="1:20" ht="15" hidden="1">
      <c r="A103" s="223" t="s">
        <v>136</v>
      </c>
      <c r="B103" s="224">
        <f>COUNT(B2:B101)</f>
        <v>80</v>
      </c>
      <c r="C103" s="77" t="s">
        <v>198</v>
      </c>
      <c r="D103" s="77"/>
      <c r="E103" s="219"/>
      <c r="F103" s="220"/>
      <c r="G103" s="77"/>
      <c r="H103" s="212"/>
      <c r="I103" s="77"/>
      <c r="J103" s="77"/>
      <c r="K103" s="214"/>
      <c r="L103" s="214"/>
      <c r="M103" s="214"/>
      <c r="N103" s="214"/>
      <c r="O103" s="77"/>
      <c r="P103" s="77"/>
      <c r="Q103" s="77"/>
      <c r="R103" s="77"/>
      <c r="S103" s="77"/>
      <c r="T103" s="77"/>
    </row>
    <row r="104" spans="1:20" ht="13" hidden="1">
      <c r="A104" s="225" t="s">
        <v>199</v>
      </c>
      <c r="E104" s="219"/>
      <c r="F104" s="220"/>
      <c r="H104" s="226"/>
      <c r="K104" s="214"/>
      <c r="L104" s="214"/>
      <c r="M104" s="214"/>
      <c r="N104" s="214"/>
    </row>
    <row r="105" spans="1:20" ht="13" hidden="1">
      <c r="A105" s="207"/>
      <c r="B105" s="77"/>
      <c r="C105" s="77"/>
      <c r="D105" s="77"/>
      <c r="E105" s="219"/>
      <c r="F105" s="220"/>
      <c r="G105" s="77"/>
      <c r="H105" s="212"/>
      <c r="I105" s="77"/>
      <c r="J105" s="77"/>
      <c r="K105" s="214"/>
      <c r="L105" s="214"/>
      <c r="M105" s="214"/>
      <c r="N105" s="214"/>
      <c r="O105" s="77"/>
      <c r="P105" s="77"/>
      <c r="Q105" s="77"/>
      <c r="R105" s="77"/>
      <c r="S105" s="77"/>
      <c r="T105" s="77"/>
    </row>
    <row r="106" spans="1:20" ht="13" hidden="1">
      <c r="A106" s="227" t="str">
        <f>HYPERLINK("https://phillipreeve.net/blog/sony-fe-lenses/fe-list/","If you have a question or want to report any mistake please leave a comment on the blog.")</f>
        <v>If you have a question or want to report any mistake please leave a comment on the blog.</v>
      </c>
      <c r="B106" s="228"/>
      <c r="C106" s="228"/>
      <c r="D106" s="228"/>
      <c r="E106" s="229"/>
      <c r="F106" s="230"/>
      <c r="G106" s="228"/>
      <c r="H106" s="231"/>
      <c r="I106" s="228"/>
      <c r="J106" s="228"/>
      <c r="K106" s="214"/>
      <c r="L106" s="214"/>
      <c r="M106" s="214"/>
      <c r="N106" s="214"/>
    </row>
    <row r="107" spans="1:20" ht="13" hidden="1">
      <c r="E107" s="219"/>
      <c r="F107" s="220"/>
      <c r="H107" s="226"/>
      <c r="K107" s="214"/>
      <c r="L107" s="214"/>
      <c r="M107" s="214"/>
      <c r="N107" s="214"/>
    </row>
    <row r="108" spans="1:20" ht="13" hidden="1">
      <c r="A108" s="207" t="s">
        <v>139</v>
      </c>
      <c r="E108" s="219"/>
      <c r="F108" s="220"/>
      <c r="H108" s="226"/>
      <c r="K108" s="214"/>
      <c r="L108" s="214"/>
      <c r="M108" s="214"/>
      <c r="N108" s="214"/>
    </row>
    <row r="109" spans="1:20" ht="13" hidden="1">
      <c r="A109" s="170" t="str">
        <f>HYPERLINK("https://phillipreeve.net/blog/fe-lenses-sony-comprehensive-independent-guide/","Our Guide to FE-mount lenses - If you need any help on finding the right lens.")</f>
        <v>Our Guide to FE-mount lenses - If you need any help on finding the right lens.</v>
      </c>
      <c r="E109" s="219"/>
      <c r="F109" s="220"/>
      <c r="H109" s="226"/>
      <c r="K109" s="214"/>
      <c r="L109" s="214"/>
      <c r="M109" s="214"/>
      <c r="N109" s="214"/>
    </row>
    <row r="110" spans="1:20" ht="13" hidden="1">
      <c r="A110" s="170" t="str">
        <f>HYPERLINK("https://phillipreeve.net/blog/9-golden-rules-to-buy-the-wrong-lens/","10 golden rules to buy the wrong lens.")</f>
        <v>10 golden rules to buy the wrong lens.</v>
      </c>
      <c r="E110" s="219"/>
      <c r="F110" s="220"/>
      <c r="H110" s="226"/>
      <c r="K110" s="214"/>
      <c r="L110" s="214"/>
      <c r="M110" s="214"/>
      <c r="N110" s="214"/>
    </row>
    <row r="111" spans="1:20" ht="13" hidden="1">
      <c r="A111" s="170" t="str">
        <f>HYPERLINK("https://phillipreeve.net/blog/user-guide-ultra-wideangle-lenses-sony-alpha-7-series/","Our Guide to Ultra-Wideangle lenses")</f>
        <v>Our Guide to Ultra-Wideangle lenses</v>
      </c>
      <c r="E111" s="219"/>
      <c r="F111" s="220"/>
      <c r="H111" s="226"/>
      <c r="K111" s="214"/>
      <c r="L111" s="214"/>
      <c r="M111" s="214"/>
      <c r="N111" s="214"/>
    </row>
    <row r="112" spans="1:20" ht="13" hidden="1">
      <c r="A112" s="170" t="str">
        <f>HYPERLINK("https://phillipreeve.net/blog/wideangle-lenses-for-the-sony-alpha-7-series/","Our Guide to Wideangle lenses")</f>
        <v>Our Guide to Wideangle lenses</v>
      </c>
      <c r="E112" s="219"/>
      <c r="F112" s="220"/>
      <c r="H112" s="226"/>
      <c r="K112" s="214"/>
      <c r="L112" s="214"/>
      <c r="M112" s="214"/>
      <c r="N112" s="214"/>
    </row>
    <row r="113" spans="1:14" ht="13" hidden="1">
      <c r="A113" s="170" t="str">
        <f>HYPERLINK("https://phillipreeve.net/blog/guide-to-macro-lenses-for-the-sony-a7-series/","Our Guide to Macro lenses")</f>
        <v>Our Guide to Macro lenses</v>
      </c>
      <c r="E113" s="219"/>
      <c r="F113" s="220"/>
      <c r="H113" s="226"/>
      <c r="K113" s="214"/>
      <c r="L113" s="214"/>
      <c r="M113" s="214"/>
      <c r="N113" s="214"/>
    </row>
    <row r="114" spans="1:14" ht="13" hidden="1">
      <c r="A114" s="170" t="str">
        <f>HYPERLINK("https://phillipreeve.net/blog/user-guide-to-portrait-lenses-sony-a7-series/","Our Guide to Portrait lenses")</f>
        <v>Our Guide to Portrait lenses</v>
      </c>
      <c r="E114" s="219"/>
      <c r="F114" s="220"/>
      <c r="H114" s="226"/>
      <c r="K114" s="214"/>
      <c r="L114" s="214"/>
      <c r="M114" s="214"/>
      <c r="N114" s="214"/>
    </row>
    <row r="115" spans="1:14" ht="13" hidden="1">
      <c r="A115" s="170" t="str">
        <f>HYPERLINK("https://phillipreeve.net/blog/building-a-lens-kit/","Building a lens kit")</f>
        <v>Building a lens kit</v>
      </c>
      <c r="E115" s="219"/>
      <c r="F115" s="220"/>
      <c r="H115" s="226"/>
      <c r="K115" s="214"/>
      <c r="L115" s="214"/>
      <c r="M115" s="214"/>
      <c r="N115" s="214"/>
    </row>
    <row r="116" spans="1:14" ht="13" hidden="1">
      <c r="A116" s="77"/>
      <c r="H116" s="226"/>
      <c r="K116" s="214"/>
      <c r="L116" s="214"/>
      <c r="M116" s="214"/>
      <c r="N116" s="214"/>
    </row>
    <row r="117" spans="1:14" ht="13" hidden="1">
      <c r="A117" s="207" t="s">
        <v>201</v>
      </c>
      <c r="H117" s="226"/>
      <c r="K117" s="214"/>
      <c r="L117" s="214"/>
      <c r="M117" s="214"/>
      <c r="N117" s="214"/>
    </row>
    <row r="118" spans="1:14" ht="13" hidden="1">
      <c r="A118" s="77" t="s">
        <v>202</v>
      </c>
      <c r="H118" s="226"/>
      <c r="K118" s="214"/>
      <c r="L118" s="214"/>
      <c r="M118" s="214"/>
      <c r="N118" s="214"/>
    </row>
    <row r="119" spans="1:14" ht="13" hidden="1">
      <c r="A119" s="77" t="s">
        <v>203</v>
      </c>
      <c r="H119" s="226"/>
      <c r="K119" s="214"/>
      <c r="L119" s="214"/>
      <c r="M119" s="214"/>
      <c r="N119" s="214"/>
    </row>
    <row r="120" spans="1:14" ht="13" hidden="1">
      <c r="A120" s="77" t="s">
        <v>204</v>
      </c>
      <c r="H120" s="226"/>
      <c r="K120" s="214"/>
      <c r="L120" s="214"/>
      <c r="M120" s="214"/>
      <c r="N120" s="214"/>
    </row>
    <row r="121" spans="1:14" ht="13" hidden="1">
      <c r="A121" s="77" t="s">
        <v>205</v>
      </c>
      <c r="H121" s="226"/>
      <c r="K121" s="214"/>
      <c r="L121" s="214"/>
      <c r="M121" s="214"/>
      <c r="N121" s="214"/>
    </row>
    <row r="122" spans="1:14" ht="13" hidden="1">
      <c r="A122" s="233"/>
      <c r="H122" s="226"/>
      <c r="K122" s="214"/>
      <c r="L122" s="214"/>
      <c r="M122" s="214"/>
      <c r="N122" s="214"/>
    </row>
    <row r="123" spans="1:14" ht="13" hidden="1">
      <c r="A123" s="207" t="s">
        <v>142</v>
      </c>
      <c r="H123" s="226"/>
      <c r="K123" s="214"/>
      <c r="L123" s="214"/>
      <c r="M123" s="214"/>
      <c r="N123" s="214"/>
    </row>
    <row r="124" spans="1:14" ht="13" hidden="1">
      <c r="A124" s="77" t="s">
        <v>206</v>
      </c>
      <c r="D124" s="233"/>
      <c r="H124" s="226"/>
      <c r="K124" s="214"/>
      <c r="L124" s="214"/>
      <c r="M124" s="214"/>
      <c r="N124" s="214"/>
    </row>
    <row r="125" spans="1:14" ht="13" hidden="1">
      <c r="A125" s="77" t="s">
        <v>144</v>
      </c>
      <c r="D125" s="233"/>
      <c r="H125" s="226"/>
      <c r="K125" s="214"/>
      <c r="L125" s="214"/>
      <c r="M125" s="214"/>
      <c r="N125" s="214"/>
    </row>
    <row r="126" spans="1:14" ht="13" hidden="1">
      <c r="H126" s="226"/>
      <c r="K126" s="214"/>
      <c r="L126" s="214"/>
      <c r="M126" s="214"/>
      <c r="N126" s="214"/>
    </row>
    <row r="127" spans="1:14" ht="13" hidden="1">
      <c r="A127" s="170" t="str">
        <f>HYPERLINK("https://phillipreeve.net/blog/impressum/","Impressum")</f>
        <v>Impressum</v>
      </c>
      <c r="H127" s="226"/>
      <c r="K127" s="214"/>
      <c r="L127" s="214"/>
      <c r="M127" s="214"/>
      <c r="N127" s="214"/>
    </row>
    <row r="128" spans="1:14" ht="13" hidden="1">
      <c r="H128" s="226"/>
      <c r="K128" s="214"/>
      <c r="L128" s="214"/>
      <c r="M128" s="214"/>
      <c r="N128" s="214"/>
    </row>
    <row r="129" spans="1:14" ht="13" hidden="1">
      <c r="H129" s="226"/>
      <c r="K129" s="214"/>
      <c r="L129" s="214"/>
      <c r="M129" s="214"/>
      <c r="N129" s="214"/>
    </row>
    <row r="130" spans="1:14" ht="13" hidden="1">
      <c r="H130" s="226"/>
      <c r="K130" s="214"/>
      <c r="L130" s="214"/>
      <c r="M130" s="214"/>
      <c r="N130" s="214"/>
    </row>
    <row r="131" spans="1:14" ht="13" hidden="1">
      <c r="H131" s="226"/>
      <c r="K131" s="214"/>
      <c r="L131" s="214"/>
      <c r="M131" s="214"/>
      <c r="N131" s="214"/>
    </row>
    <row r="132" spans="1:14" ht="13" hidden="1">
      <c r="H132" s="226"/>
      <c r="K132" s="214"/>
      <c r="L132" s="214"/>
      <c r="M132" s="214"/>
      <c r="N132" s="214"/>
    </row>
    <row r="133" spans="1:14" ht="13" hidden="1">
      <c r="A133" s="207"/>
      <c r="H133" s="226"/>
      <c r="K133" s="214"/>
      <c r="L133" s="214"/>
      <c r="M133" s="214"/>
      <c r="N133" s="214"/>
    </row>
    <row r="134" spans="1:14" ht="13" hidden="1">
      <c r="A134" s="207"/>
      <c r="H134" s="226"/>
      <c r="K134" s="214"/>
      <c r="L134" s="214"/>
      <c r="M134" s="214"/>
      <c r="N134" s="214"/>
    </row>
    <row r="135" spans="1:14" ht="13" hidden="1">
      <c r="A135" s="207"/>
      <c r="H135" s="226"/>
      <c r="K135" s="214"/>
      <c r="L135" s="214"/>
      <c r="M135" s="214"/>
      <c r="N135" s="214"/>
    </row>
    <row r="136" spans="1:14" ht="13" hidden="1">
      <c r="A136" s="207"/>
      <c r="H136" s="226"/>
      <c r="K136" s="214"/>
      <c r="L136" s="214"/>
      <c r="M136" s="214"/>
      <c r="N136" s="214"/>
    </row>
    <row r="137" spans="1:14" ht="13" hidden="1">
      <c r="A137" s="207"/>
      <c r="H137" s="226"/>
      <c r="K137" s="214"/>
      <c r="L137" s="214"/>
      <c r="M137" s="214"/>
      <c r="N137" s="214"/>
    </row>
    <row r="138" spans="1:14" ht="13" hidden="1">
      <c r="A138" s="207"/>
      <c r="H138" s="226"/>
      <c r="K138" s="214"/>
      <c r="L138" s="214"/>
      <c r="M138" s="214"/>
      <c r="N138" s="214"/>
    </row>
    <row r="139" spans="1:14" ht="13" hidden="1">
      <c r="A139" s="233"/>
      <c r="H139" s="226"/>
      <c r="K139" s="214"/>
      <c r="L139" s="214"/>
      <c r="M139" s="214"/>
      <c r="N139" s="214"/>
    </row>
    <row r="140" spans="1:14" ht="13" hidden="1">
      <c r="A140" s="207"/>
      <c r="H140" s="226"/>
      <c r="K140" s="214"/>
      <c r="L140" s="214"/>
      <c r="M140" s="214"/>
      <c r="N140" s="214"/>
    </row>
    <row r="141" spans="1:14" ht="13" hidden="1">
      <c r="A141" s="207"/>
      <c r="H141" s="226"/>
      <c r="K141" s="214"/>
      <c r="L141" s="214"/>
      <c r="M141" s="214"/>
      <c r="N141" s="214"/>
    </row>
    <row r="142" spans="1:14" ht="13" hidden="1">
      <c r="A142" s="233"/>
      <c r="H142" s="226"/>
      <c r="K142" s="214"/>
      <c r="L142" s="214"/>
      <c r="M142" s="214"/>
      <c r="N142" s="214"/>
    </row>
    <row r="143" spans="1:14" ht="13" hidden="1">
      <c r="A143" s="207"/>
      <c r="H143" s="226"/>
      <c r="K143" s="214"/>
      <c r="L143" s="214"/>
      <c r="M143" s="214"/>
      <c r="N143" s="214"/>
    </row>
    <row r="144" spans="1:14" ht="13" hidden="1">
      <c r="A144" s="207"/>
      <c r="H144" s="226"/>
      <c r="K144" s="214"/>
      <c r="L144" s="214"/>
      <c r="M144" s="214"/>
      <c r="N144" s="214"/>
    </row>
    <row r="145" spans="1:14" ht="13" hidden="1">
      <c r="A145" s="207"/>
      <c r="H145" s="226"/>
      <c r="K145" s="214"/>
      <c r="L145" s="214"/>
      <c r="M145" s="214"/>
      <c r="N145" s="214"/>
    </row>
    <row r="146" spans="1:14" ht="13" hidden="1">
      <c r="A146" s="207"/>
      <c r="H146" s="226"/>
      <c r="K146" s="214"/>
      <c r="L146" s="214"/>
      <c r="M146" s="214"/>
      <c r="N146" s="214"/>
    </row>
    <row r="147" spans="1:14" ht="13" hidden="1">
      <c r="A147" s="207"/>
      <c r="H147" s="226"/>
      <c r="K147" s="214"/>
      <c r="L147" s="214"/>
      <c r="M147" s="214"/>
      <c r="N147" s="214"/>
    </row>
    <row r="148" spans="1:14" ht="13" hidden="1">
      <c r="A148" s="207"/>
      <c r="H148" s="226"/>
      <c r="K148" s="214"/>
      <c r="L148" s="214"/>
      <c r="M148" s="214"/>
      <c r="N148" s="214"/>
    </row>
    <row r="149" spans="1:14" ht="13" hidden="1">
      <c r="A149" s="207"/>
      <c r="H149" s="226"/>
      <c r="K149" s="214"/>
      <c r="L149" s="214"/>
      <c r="M149" s="214"/>
      <c r="N149" s="214"/>
    </row>
    <row r="150" spans="1:14" ht="13" hidden="1">
      <c r="A150" s="207"/>
      <c r="H150" s="226"/>
      <c r="K150" s="214"/>
      <c r="L150" s="214"/>
      <c r="M150" s="214"/>
      <c r="N150" s="214"/>
    </row>
    <row r="151" spans="1:14" ht="13" hidden="1">
      <c r="A151" s="207"/>
      <c r="H151" s="226"/>
      <c r="K151" s="214"/>
      <c r="L151" s="214"/>
      <c r="M151" s="214"/>
      <c r="N151" s="214"/>
    </row>
    <row r="152" spans="1:14" ht="13" hidden="1">
      <c r="A152" s="233"/>
      <c r="H152" s="226"/>
      <c r="K152" s="214"/>
      <c r="L152" s="214"/>
      <c r="M152" s="214"/>
      <c r="N152" s="214"/>
    </row>
    <row r="153" spans="1:14" ht="13" hidden="1">
      <c r="A153" s="233"/>
      <c r="H153" s="226"/>
      <c r="K153" s="214"/>
      <c r="L153" s="214"/>
      <c r="M153" s="214"/>
      <c r="N153" s="214"/>
    </row>
    <row r="154" spans="1:14" ht="13" hidden="1">
      <c r="H154" s="226"/>
      <c r="K154" s="214"/>
      <c r="L154" s="214"/>
      <c r="M154" s="214"/>
      <c r="N154" s="214"/>
    </row>
    <row r="155" spans="1:14" ht="13" hidden="1">
      <c r="H155" s="226"/>
      <c r="K155" s="214"/>
      <c r="L155" s="214"/>
      <c r="M155" s="214"/>
      <c r="N155" s="214"/>
    </row>
    <row r="156" spans="1:14" ht="13" hidden="1">
      <c r="H156" s="226"/>
      <c r="K156" s="214"/>
      <c r="L156" s="214"/>
      <c r="M156" s="214"/>
      <c r="N156" s="214"/>
    </row>
    <row r="157" spans="1:14" ht="13" hidden="1">
      <c r="H157" s="226"/>
      <c r="K157" s="214"/>
      <c r="L157" s="214"/>
      <c r="M157" s="214"/>
      <c r="N157" s="214"/>
    </row>
    <row r="158" spans="1:14" ht="13" hidden="1">
      <c r="H158" s="226"/>
    </row>
    <row r="159" spans="1:14" ht="13" hidden="1">
      <c r="H159" s="226"/>
    </row>
    <row r="160" spans="1:14" ht="13" hidden="1">
      <c r="H160" s="226"/>
    </row>
    <row r="161" spans="8:8" ht="13" hidden="1">
      <c r="H161" s="226"/>
    </row>
    <row r="162" spans="8:8" ht="13" hidden="1">
      <c r="H162" s="226"/>
    </row>
    <row r="163" spans="8:8" ht="13" hidden="1">
      <c r="H163" s="226"/>
    </row>
    <row r="164" spans="8:8" ht="13" hidden="1">
      <c r="H164" s="226"/>
    </row>
    <row r="165" spans="8:8" ht="13" hidden="1">
      <c r="H165" s="226"/>
    </row>
    <row r="166" spans="8:8" ht="13" hidden="1">
      <c r="H166" s="226"/>
    </row>
    <row r="167" spans="8:8" ht="13" hidden="1">
      <c r="H167" s="226"/>
    </row>
    <row r="168" spans="8:8" ht="13" hidden="1">
      <c r="H168" s="226"/>
    </row>
    <row r="169" spans="8:8" ht="13" hidden="1">
      <c r="H169" s="226"/>
    </row>
    <row r="170" spans="8:8" ht="13" hidden="1">
      <c r="H170" s="226"/>
    </row>
    <row r="171" spans="8:8" ht="13" hidden="1">
      <c r="H171" s="226"/>
    </row>
    <row r="172" spans="8:8" ht="13" hidden="1">
      <c r="H172" s="226"/>
    </row>
    <row r="173" spans="8:8" ht="13" hidden="1">
      <c r="H173" s="226"/>
    </row>
    <row r="174" spans="8:8" ht="13" hidden="1">
      <c r="H174" s="226"/>
    </row>
    <row r="175" spans="8:8" ht="13" hidden="1">
      <c r="H175" s="226"/>
    </row>
    <row r="176" spans="8:8" ht="13" hidden="1">
      <c r="H176" s="226"/>
    </row>
    <row r="177" spans="8:8" ht="13" hidden="1">
      <c r="H177" s="226"/>
    </row>
    <row r="178" spans="8:8" ht="13" hidden="1">
      <c r="H178" s="226"/>
    </row>
    <row r="179" spans="8:8" ht="13" hidden="1">
      <c r="H179" s="226"/>
    </row>
    <row r="180" spans="8:8" ht="13" hidden="1">
      <c r="H180" s="226"/>
    </row>
    <row r="181" spans="8:8" ht="13" hidden="1">
      <c r="H181" s="226"/>
    </row>
    <row r="182" spans="8:8" ht="13" hidden="1">
      <c r="H182" s="226"/>
    </row>
    <row r="183" spans="8:8" ht="13" hidden="1">
      <c r="H183" s="226"/>
    </row>
    <row r="184" spans="8:8" ht="13" hidden="1">
      <c r="H184" s="226"/>
    </row>
    <row r="185" spans="8:8" ht="13" hidden="1">
      <c r="H185" s="226"/>
    </row>
    <row r="186" spans="8:8" ht="13" hidden="1">
      <c r="H186" s="226"/>
    </row>
    <row r="187" spans="8:8" ht="13" hidden="1">
      <c r="H187" s="226"/>
    </row>
    <row r="188" spans="8:8" ht="13" hidden="1">
      <c r="H188" s="226"/>
    </row>
    <row r="189" spans="8:8" ht="13" hidden="1">
      <c r="H189" s="226"/>
    </row>
    <row r="190" spans="8:8" ht="13" hidden="1">
      <c r="H190" s="226"/>
    </row>
    <row r="191" spans="8:8" ht="13" hidden="1">
      <c r="H191" s="226"/>
    </row>
    <row r="192" spans="8:8" ht="13" hidden="1">
      <c r="H192" s="226"/>
    </row>
    <row r="193" spans="8:8" ht="13" hidden="1">
      <c r="H193" s="226"/>
    </row>
    <row r="194" spans="8:8" ht="13" hidden="1">
      <c r="H194" s="226"/>
    </row>
    <row r="195" spans="8:8" ht="13" hidden="1">
      <c r="H195" s="226"/>
    </row>
    <row r="196" spans="8:8" ht="13" hidden="1">
      <c r="H196" s="226"/>
    </row>
    <row r="197" spans="8:8" ht="13" hidden="1">
      <c r="H197" s="226"/>
    </row>
    <row r="198" spans="8:8" ht="13" hidden="1">
      <c r="H198" s="226"/>
    </row>
    <row r="199" spans="8:8" ht="13" hidden="1">
      <c r="H199" s="226"/>
    </row>
    <row r="200" spans="8:8" ht="13" hidden="1">
      <c r="H200" s="226"/>
    </row>
    <row r="201" spans="8:8" ht="13" hidden="1">
      <c r="H201" s="226"/>
    </row>
    <row r="202" spans="8:8" ht="13" hidden="1">
      <c r="H202" s="226"/>
    </row>
    <row r="203" spans="8:8" ht="13" hidden="1">
      <c r="H203" s="226"/>
    </row>
    <row r="204" spans="8:8" ht="13" hidden="1">
      <c r="H204" s="226"/>
    </row>
    <row r="205" spans="8:8" ht="13" hidden="1">
      <c r="H205" s="226"/>
    </row>
    <row r="206" spans="8:8" ht="13" hidden="1">
      <c r="H206" s="226"/>
    </row>
    <row r="207" spans="8:8" ht="13" hidden="1">
      <c r="H207" s="226"/>
    </row>
    <row r="208" spans="8:8" ht="13" hidden="1">
      <c r="H208" s="226"/>
    </row>
    <row r="209" spans="8:8" ht="13" hidden="1">
      <c r="H209" s="226"/>
    </row>
    <row r="210" spans="8:8" ht="13" hidden="1">
      <c r="H210" s="226"/>
    </row>
    <row r="211" spans="8:8" ht="13" hidden="1">
      <c r="H211" s="226"/>
    </row>
    <row r="212" spans="8:8" ht="13" hidden="1">
      <c r="H212" s="226"/>
    </row>
    <row r="213" spans="8:8" ht="13" hidden="1">
      <c r="H213" s="226"/>
    </row>
    <row r="214" spans="8:8" ht="13" hidden="1">
      <c r="H214" s="226"/>
    </row>
    <row r="215" spans="8:8" ht="13" hidden="1">
      <c r="H215" s="226"/>
    </row>
    <row r="216" spans="8:8" ht="13" hidden="1">
      <c r="H216" s="226"/>
    </row>
    <row r="217" spans="8:8" ht="13" hidden="1">
      <c r="H217" s="226"/>
    </row>
    <row r="218" spans="8:8" ht="13" hidden="1">
      <c r="H218" s="226"/>
    </row>
    <row r="219" spans="8:8" ht="13" hidden="1">
      <c r="H219" s="226"/>
    </row>
    <row r="220" spans="8:8" ht="13" hidden="1">
      <c r="H220" s="226"/>
    </row>
    <row r="221" spans="8:8" ht="13" hidden="1">
      <c r="H221" s="226"/>
    </row>
    <row r="222" spans="8:8" ht="13" hidden="1">
      <c r="H222" s="226"/>
    </row>
    <row r="223" spans="8:8" ht="13" hidden="1">
      <c r="H223" s="226"/>
    </row>
    <row r="224" spans="8:8" ht="13" hidden="1">
      <c r="H224" s="226"/>
    </row>
    <row r="225" spans="8:8" ht="13" hidden="1">
      <c r="H225" s="226"/>
    </row>
    <row r="226" spans="8:8" ht="13" hidden="1">
      <c r="H226" s="226"/>
    </row>
    <row r="227" spans="8:8" ht="13" hidden="1">
      <c r="H227" s="226"/>
    </row>
    <row r="228" spans="8:8" ht="13" hidden="1">
      <c r="H228" s="226"/>
    </row>
    <row r="229" spans="8:8" ht="13" hidden="1">
      <c r="H229" s="226"/>
    </row>
    <row r="230" spans="8:8" ht="13" hidden="1">
      <c r="H230" s="226"/>
    </row>
    <row r="231" spans="8:8" ht="13" hidden="1">
      <c r="H231" s="226"/>
    </row>
    <row r="232" spans="8:8" ht="13" hidden="1">
      <c r="H232" s="226"/>
    </row>
    <row r="233" spans="8:8" ht="13" hidden="1">
      <c r="H233" s="226"/>
    </row>
    <row r="234" spans="8:8" ht="13" hidden="1">
      <c r="H234" s="226"/>
    </row>
    <row r="235" spans="8:8" ht="13" hidden="1">
      <c r="H235" s="226"/>
    </row>
    <row r="236" spans="8:8" ht="13" hidden="1">
      <c r="H236" s="226"/>
    </row>
    <row r="237" spans="8:8" ht="13" hidden="1">
      <c r="H237" s="226"/>
    </row>
    <row r="238" spans="8:8" ht="13" hidden="1">
      <c r="H238" s="226"/>
    </row>
    <row r="239" spans="8:8" ht="13" hidden="1">
      <c r="H239" s="226"/>
    </row>
    <row r="240" spans="8:8" ht="13" hidden="1">
      <c r="H240" s="226"/>
    </row>
    <row r="241" spans="8:8" ht="13" hidden="1">
      <c r="H241" s="226"/>
    </row>
    <row r="242" spans="8:8" ht="13" hidden="1">
      <c r="H242" s="226"/>
    </row>
    <row r="243" spans="8:8" ht="13" hidden="1">
      <c r="H243" s="226"/>
    </row>
    <row r="244" spans="8:8" ht="13" hidden="1">
      <c r="H244" s="226"/>
    </row>
    <row r="245" spans="8:8" ht="13" hidden="1">
      <c r="H245" s="226"/>
    </row>
    <row r="246" spans="8:8" ht="13" hidden="1">
      <c r="H246" s="226"/>
    </row>
    <row r="247" spans="8:8" ht="13" hidden="1">
      <c r="H247" s="226"/>
    </row>
    <row r="248" spans="8:8" ht="13" hidden="1">
      <c r="H248" s="226"/>
    </row>
    <row r="249" spans="8:8" ht="13" hidden="1">
      <c r="H249" s="226"/>
    </row>
    <row r="250" spans="8:8" ht="13" hidden="1">
      <c r="H250" s="226"/>
    </row>
    <row r="251" spans="8:8" ht="13" hidden="1">
      <c r="H251" s="226"/>
    </row>
    <row r="252" spans="8:8" ht="13" hidden="1">
      <c r="H252" s="226"/>
    </row>
    <row r="253" spans="8:8" ht="13" hidden="1">
      <c r="H253" s="226"/>
    </row>
    <row r="254" spans="8:8" ht="13" hidden="1">
      <c r="H254" s="226"/>
    </row>
    <row r="255" spans="8:8" ht="13" hidden="1">
      <c r="H255" s="226"/>
    </row>
    <row r="256" spans="8:8" ht="13" hidden="1">
      <c r="H256" s="226"/>
    </row>
    <row r="257" spans="8:8" ht="13" hidden="1">
      <c r="H257" s="226"/>
    </row>
    <row r="258" spans="8:8" ht="13" hidden="1">
      <c r="H258" s="226"/>
    </row>
    <row r="259" spans="8:8" ht="13" hidden="1">
      <c r="H259" s="226"/>
    </row>
    <row r="260" spans="8:8" ht="13" hidden="1">
      <c r="H260" s="226"/>
    </row>
    <row r="261" spans="8:8" ht="13" hidden="1">
      <c r="H261" s="226"/>
    </row>
    <row r="262" spans="8:8" ht="13" hidden="1">
      <c r="H262" s="226"/>
    </row>
    <row r="263" spans="8:8" ht="13" hidden="1">
      <c r="H263" s="226"/>
    </row>
    <row r="264" spans="8:8" ht="13" hidden="1">
      <c r="H264" s="226"/>
    </row>
    <row r="265" spans="8:8" ht="13" hidden="1">
      <c r="H265" s="226"/>
    </row>
    <row r="266" spans="8:8" ht="13" hidden="1">
      <c r="H266" s="226"/>
    </row>
    <row r="267" spans="8:8" ht="13" hidden="1">
      <c r="H267" s="226"/>
    </row>
    <row r="268" spans="8:8" ht="13" hidden="1">
      <c r="H268" s="226"/>
    </row>
    <row r="269" spans="8:8" ht="13" hidden="1">
      <c r="H269" s="226"/>
    </row>
    <row r="270" spans="8:8" ht="13" hidden="1">
      <c r="H270" s="226"/>
    </row>
    <row r="271" spans="8:8" ht="13" hidden="1">
      <c r="H271" s="226"/>
    </row>
    <row r="272" spans="8:8" ht="13" hidden="1">
      <c r="H272" s="226"/>
    </row>
    <row r="273" spans="8:8" ht="13" hidden="1">
      <c r="H273" s="226"/>
    </row>
    <row r="274" spans="8:8" ht="13" hidden="1">
      <c r="H274" s="226"/>
    </row>
    <row r="275" spans="8:8" ht="13" hidden="1">
      <c r="H275" s="226"/>
    </row>
    <row r="276" spans="8:8" ht="13" hidden="1">
      <c r="H276" s="226"/>
    </row>
    <row r="277" spans="8:8" ht="13" hidden="1">
      <c r="H277" s="226"/>
    </row>
    <row r="278" spans="8:8" ht="13" hidden="1">
      <c r="H278" s="226"/>
    </row>
    <row r="279" spans="8:8" ht="13" hidden="1">
      <c r="H279" s="226"/>
    </row>
    <row r="280" spans="8:8" ht="13" hidden="1">
      <c r="H280" s="226"/>
    </row>
    <row r="281" spans="8:8" ht="13" hidden="1">
      <c r="H281" s="226"/>
    </row>
    <row r="282" spans="8:8" ht="13" hidden="1">
      <c r="H282" s="226"/>
    </row>
    <row r="283" spans="8:8" ht="13" hidden="1">
      <c r="H283" s="226"/>
    </row>
    <row r="284" spans="8:8" ht="13" hidden="1">
      <c r="H284" s="226"/>
    </row>
    <row r="285" spans="8:8" ht="13" hidden="1">
      <c r="H285" s="226"/>
    </row>
    <row r="286" spans="8:8" ht="13" hidden="1">
      <c r="H286" s="226"/>
    </row>
    <row r="287" spans="8:8" ht="13" hidden="1">
      <c r="H287" s="226"/>
    </row>
    <row r="288" spans="8:8" ht="13" hidden="1">
      <c r="H288" s="226"/>
    </row>
    <row r="289" spans="8:8" ht="13" hidden="1">
      <c r="H289" s="226"/>
    </row>
    <row r="290" spans="8:8" ht="13" hidden="1">
      <c r="H290" s="226"/>
    </row>
    <row r="291" spans="8:8" ht="13" hidden="1">
      <c r="H291" s="226"/>
    </row>
    <row r="292" spans="8:8" ht="13" hidden="1">
      <c r="H292" s="226"/>
    </row>
    <row r="293" spans="8:8" ht="13" hidden="1">
      <c r="H293" s="226"/>
    </row>
    <row r="294" spans="8:8" ht="13" hidden="1">
      <c r="H294" s="226"/>
    </row>
    <row r="295" spans="8:8" ht="13" hidden="1">
      <c r="H295" s="226"/>
    </row>
    <row r="296" spans="8:8" ht="13" hidden="1">
      <c r="H296" s="226"/>
    </row>
    <row r="297" spans="8:8" ht="13" hidden="1">
      <c r="H297" s="226"/>
    </row>
    <row r="298" spans="8:8" ht="13" hidden="1">
      <c r="H298" s="226"/>
    </row>
    <row r="299" spans="8:8" ht="13" hidden="1">
      <c r="H299" s="226"/>
    </row>
    <row r="300" spans="8:8" ht="13" hidden="1">
      <c r="H300" s="226"/>
    </row>
    <row r="301" spans="8:8" ht="13" hidden="1">
      <c r="H301" s="226"/>
    </row>
    <row r="302" spans="8:8" ht="13" hidden="1">
      <c r="H302" s="226"/>
    </row>
    <row r="303" spans="8:8" ht="13" hidden="1">
      <c r="H303" s="226"/>
    </row>
    <row r="304" spans="8:8" ht="13" hidden="1">
      <c r="H304" s="226"/>
    </row>
    <row r="305" spans="8:8" ht="13" hidden="1">
      <c r="H305" s="226"/>
    </row>
    <row r="306" spans="8:8" ht="13" hidden="1">
      <c r="H306" s="226"/>
    </row>
    <row r="307" spans="8:8" ht="13" hidden="1">
      <c r="H307" s="226"/>
    </row>
    <row r="308" spans="8:8" ht="13" hidden="1">
      <c r="H308" s="226"/>
    </row>
    <row r="309" spans="8:8" ht="13" hidden="1">
      <c r="H309" s="226"/>
    </row>
    <row r="310" spans="8:8" ht="13" hidden="1">
      <c r="H310" s="226"/>
    </row>
    <row r="311" spans="8:8" ht="13" hidden="1">
      <c r="H311" s="226"/>
    </row>
    <row r="312" spans="8:8" ht="13" hidden="1">
      <c r="H312" s="226"/>
    </row>
    <row r="313" spans="8:8" ht="13" hidden="1">
      <c r="H313" s="226"/>
    </row>
    <row r="314" spans="8:8" ht="13" hidden="1">
      <c r="H314" s="226"/>
    </row>
    <row r="315" spans="8:8" ht="13" hidden="1">
      <c r="H315" s="226"/>
    </row>
    <row r="316" spans="8:8" ht="13" hidden="1">
      <c r="H316" s="226"/>
    </row>
    <row r="317" spans="8:8" ht="13" hidden="1">
      <c r="H317" s="226"/>
    </row>
    <row r="318" spans="8:8" ht="13" hidden="1">
      <c r="H318" s="226"/>
    </row>
    <row r="319" spans="8:8" ht="13" hidden="1">
      <c r="H319" s="226"/>
    </row>
    <row r="320" spans="8:8" ht="13" hidden="1">
      <c r="H320" s="226"/>
    </row>
    <row r="321" spans="8:8" ht="13" hidden="1">
      <c r="H321" s="226"/>
    </row>
    <row r="322" spans="8:8" ht="13" hidden="1">
      <c r="H322" s="226"/>
    </row>
    <row r="323" spans="8:8" ht="13" hidden="1">
      <c r="H323" s="226"/>
    </row>
    <row r="324" spans="8:8" ht="13" hidden="1">
      <c r="H324" s="226"/>
    </row>
    <row r="325" spans="8:8" ht="13" hidden="1">
      <c r="H325" s="226"/>
    </row>
    <row r="326" spans="8:8" ht="13" hidden="1">
      <c r="H326" s="226"/>
    </row>
    <row r="327" spans="8:8" ht="13" hidden="1">
      <c r="H327" s="226"/>
    </row>
    <row r="328" spans="8:8" ht="13" hidden="1">
      <c r="H328" s="226"/>
    </row>
    <row r="329" spans="8:8" ht="13" hidden="1">
      <c r="H329" s="226"/>
    </row>
    <row r="330" spans="8:8" ht="13" hidden="1">
      <c r="H330" s="226"/>
    </row>
    <row r="331" spans="8:8" ht="13" hidden="1">
      <c r="H331" s="226"/>
    </row>
    <row r="332" spans="8:8" ht="13" hidden="1">
      <c r="H332" s="226"/>
    </row>
    <row r="333" spans="8:8" ht="13" hidden="1">
      <c r="H333" s="226"/>
    </row>
    <row r="334" spans="8:8" ht="13" hidden="1">
      <c r="H334" s="226"/>
    </row>
    <row r="335" spans="8:8" ht="13" hidden="1">
      <c r="H335" s="226"/>
    </row>
    <row r="336" spans="8:8" ht="13" hidden="1">
      <c r="H336" s="226"/>
    </row>
    <row r="337" spans="8:8" ht="13" hidden="1">
      <c r="H337" s="226"/>
    </row>
    <row r="338" spans="8:8" ht="13" hidden="1">
      <c r="H338" s="226"/>
    </row>
    <row r="339" spans="8:8" ht="13" hidden="1">
      <c r="H339" s="226"/>
    </row>
    <row r="340" spans="8:8" ht="13" hidden="1">
      <c r="H340" s="226"/>
    </row>
    <row r="341" spans="8:8" ht="13" hidden="1">
      <c r="H341" s="226"/>
    </row>
    <row r="342" spans="8:8" ht="13" hidden="1">
      <c r="H342" s="226"/>
    </row>
    <row r="343" spans="8:8" ht="13" hidden="1">
      <c r="H343" s="226"/>
    </row>
    <row r="344" spans="8:8" ht="13" hidden="1">
      <c r="H344" s="226"/>
    </row>
    <row r="345" spans="8:8" ht="13" hidden="1">
      <c r="H345" s="226"/>
    </row>
    <row r="346" spans="8:8" ht="13" hidden="1">
      <c r="H346" s="226"/>
    </row>
    <row r="347" spans="8:8" ht="13" hidden="1">
      <c r="H347" s="226"/>
    </row>
    <row r="348" spans="8:8" ht="13" hidden="1">
      <c r="H348" s="226"/>
    </row>
    <row r="349" spans="8:8" ht="13" hidden="1">
      <c r="H349" s="226"/>
    </row>
    <row r="350" spans="8:8" ht="13" hidden="1">
      <c r="H350" s="226"/>
    </row>
    <row r="351" spans="8:8" ht="13" hidden="1">
      <c r="H351" s="226"/>
    </row>
    <row r="352" spans="8:8" ht="13" hidden="1">
      <c r="H352" s="226"/>
    </row>
    <row r="353" spans="8:8" ht="13" hidden="1">
      <c r="H353" s="226"/>
    </row>
    <row r="354" spans="8:8" ht="13" hidden="1">
      <c r="H354" s="226"/>
    </row>
    <row r="355" spans="8:8" ht="13" hidden="1">
      <c r="H355" s="226"/>
    </row>
    <row r="356" spans="8:8" ht="13" hidden="1">
      <c r="H356" s="226"/>
    </row>
    <row r="357" spans="8:8" ht="13" hidden="1">
      <c r="H357" s="226"/>
    </row>
    <row r="358" spans="8:8" ht="13" hidden="1">
      <c r="H358" s="226"/>
    </row>
    <row r="359" spans="8:8" ht="13" hidden="1">
      <c r="H359" s="226"/>
    </row>
    <row r="360" spans="8:8" ht="13" hidden="1">
      <c r="H360" s="226"/>
    </row>
    <row r="361" spans="8:8" ht="13" hidden="1">
      <c r="H361" s="226"/>
    </row>
    <row r="362" spans="8:8" ht="13" hidden="1">
      <c r="H362" s="226"/>
    </row>
    <row r="363" spans="8:8" ht="13" hidden="1">
      <c r="H363" s="226"/>
    </row>
    <row r="364" spans="8:8" ht="13" hidden="1">
      <c r="H364" s="226"/>
    </row>
    <row r="365" spans="8:8" ht="13" hidden="1">
      <c r="H365" s="226"/>
    </row>
    <row r="366" spans="8:8" ht="13" hidden="1">
      <c r="H366" s="226"/>
    </row>
    <row r="367" spans="8:8" ht="13" hidden="1">
      <c r="H367" s="226"/>
    </row>
    <row r="368" spans="8:8" ht="13" hidden="1">
      <c r="H368" s="226"/>
    </row>
    <row r="369" spans="8:8" ht="13" hidden="1">
      <c r="H369" s="226"/>
    </row>
    <row r="370" spans="8:8" ht="13" hidden="1">
      <c r="H370" s="226"/>
    </row>
    <row r="371" spans="8:8" ht="13" hidden="1">
      <c r="H371" s="226"/>
    </row>
    <row r="372" spans="8:8" ht="13" hidden="1">
      <c r="H372" s="226"/>
    </row>
    <row r="373" spans="8:8" ht="13" hidden="1">
      <c r="H373" s="226"/>
    </row>
    <row r="374" spans="8:8" ht="13" hidden="1">
      <c r="H374" s="226"/>
    </row>
    <row r="375" spans="8:8" ht="13" hidden="1">
      <c r="H375" s="226"/>
    </row>
    <row r="376" spans="8:8" ht="13" hidden="1">
      <c r="H376" s="226"/>
    </row>
    <row r="377" spans="8:8" ht="13" hidden="1">
      <c r="H377" s="226"/>
    </row>
    <row r="378" spans="8:8" ht="13" hidden="1">
      <c r="H378" s="226"/>
    </row>
    <row r="379" spans="8:8" ht="13" hidden="1">
      <c r="H379" s="226"/>
    </row>
    <row r="380" spans="8:8" ht="13" hidden="1">
      <c r="H380" s="226"/>
    </row>
    <row r="381" spans="8:8" ht="13" hidden="1">
      <c r="H381" s="226"/>
    </row>
    <row r="382" spans="8:8" ht="13" hidden="1">
      <c r="H382" s="226"/>
    </row>
    <row r="383" spans="8:8" ht="13" hidden="1">
      <c r="H383" s="226"/>
    </row>
    <row r="384" spans="8:8" ht="13" hidden="1">
      <c r="H384" s="226"/>
    </row>
    <row r="385" spans="8:8" ht="13" hidden="1">
      <c r="H385" s="226"/>
    </row>
    <row r="386" spans="8:8" ht="13" hidden="1">
      <c r="H386" s="226"/>
    </row>
    <row r="387" spans="8:8" ht="13" hidden="1">
      <c r="H387" s="226"/>
    </row>
    <row r="388" spans="8:8" ht="13" hidden="1">
      <c r="H388" s="226"/>
    </row>
    <row r="389" spans="8:8" ht="13" hidden="1">
      <c r="H389" s="226"/>
    </row>
    <row r="390" spans="8:8" ht="13" hidden="1">
      <c r="H390" s="226"/>
    </row>
    <row r="391" spans="8:8" ht="13" hidden="1">
      <c r="H391" s="226"/>
    </row>
    <row r="392" spans="8:8" ht="13" hidden="1">
      <c r="H392" s="226"/>
    </row>
    <row r="393" spans="8:8" ht="13" hidden="1">
      <c r="H393" s="226"/>
    </row>
    <row r="394" spans="8:8" ht="13" hidden="1">
      <c r="H394" s="226"/>
    </row>
    <row r="395" spans="8:8" ht="13" hidden="1">
      <c r="H395" s="226"/>
    </row>
    <row r="396" spans="8:8" ht="13" hidden="1">
      <c r="H396" s="226"/>
    </row>
    <row r="397" spans="8:8" ht="13" hidden="1">
      <c r="H397" s="226"/>
    </row>
    <row r="398" spans="8:8" ht="13" hidden="1">
      <c r="H398" s="226"/>
    </row>
    <row r="399" spans="8:8" ht="13" hidden="1">
      <c r="H399" s="226"/>
    </row>
    <row r="400" spans="8:8" ht="13" hidden="1">
      <c r="H400" s="226"/>
    </row>
    <row r="401" spans="8:8" ht="13" hidden="1">
      <c r="H401" s="226"/>
    </row>
    <row r="402" spans="8:8" ht="13" hidden="1">
      <c r="H402" s="226"/>
    </row>
    <row r="403" spans="8:8" ht="13" hidden="1">
      <c r="H403" s="226"/>
    </row>
    <row r="404" spans="8:8" ht="13" hidden="1">
      <c r="H404" s="226"/>
    </row>
    <row r="405" spans="8:8" ht="13" hidden="1">
      <c r="H405" s="226"/>
    </row>
    <row r="406" spans="8:8" ht="13" hidden="1">
      <c r="H406" s="226"/>
    </row>
    <row r="407" spans="8:8" ht="13" hidden="1">
      <c r="H407" s="226"/>
    </row>
    <row r="408" spans="8:8" ht="13" hidden="1">
      <c r="H408" s="226"/>
    </row>
    <row r="409" spans="8:8" ht="13" hidden="1">
      <c r="H409" s="226"/>
    </row>
    <row r="410" spans="8:8" ht="13" hidden="1">
      <c r="H410" s="226"/>
    </row>
    <row r="411" spans="8:8" ht="13" hidden="1">
      <c r="H411" s="226"/>
    </row>
    <row r="412" spans="8:8" ht="13" hidden="1">
      <c r="H412" s="226"/>
    </row>
    <row r="413" spans="8:8" ht="13" hidden="1">
      <c r="H413" s="226"/>
    </row>
    <row r="414" spans="8:8" ht="13" hidden="1">
      <c r="H414" s="226"/>
    </row>
    <row r="415" spans="8:8" ht="13" hidden="1">
      <c r="H415" s="226"/>
    </row>
    <row r="416" spans="8:8" ht="13" hidden="1">
      <c r="H416" s="226"/>
    </row>
    <row r="417" spans="8:8" ht="13" hidden="1">
      <c r="H417" s="226"/>
    </row>
    <row r="418" spans="8:8" ht="13" hidden="1">
      <c r="H418" s="226"/>
    </row>
    <row r="419" spans="8:8" ht="13" hidden="1">
      <c r="H419" s="226"/>
    </row>
    <row r="420" spans="8:8" ht="13" hidden="1">
      <c r="H420" s="226"/>
    </row>
    <row r="421" spans="8:8" ht="13" hidden="1">
      <c r="H421" s="226"/>
    </row>
    <row r="422" spans="8:8" ht="13" hidden="1">
      <c r="H422" s="226"/>
    </row>
    <row r="423" spans="8:8" ht="13" hidden="1">
      <c r="H423" s="226"/>
    </row>
    <row r="424" spans="8:8" ht="13" hidden="1">
      <c r="H424" s="226"/>
    </row>
    <row r="425" spans="8:8" ht="13" hidden="1">
      <c r="H425" s="226"/>
    </row>
    <row r="426" spans="8:8" ht="13" hidden="1">
      <c r="H426" s="226"/>
    </row>
    <row r="427" spans="8:8" ht="13" hidden="1">
      <c r="H427" s="226"/>
    </row>
    <row r="428" spans="8:8" ht="13" hidden="1">
      <c r="H428" s="226"/>
    </row>
    <row r="429" spans="8:8" ht="13" hidden="1">
      <c r="H429" s="226"/>
    </row>
    <row r="430" spans="8:8" ht="13" hidden="1">
      <c r="H430" s="226"/>
    </row>
    <row r="431" spans="8:8" ht="13" hidden="1">
      <c r="H431" s="226"/>
    </row>
    <row r="432" spans="8:8" ht="13" hidden="1">
      <c r="H432" s="226"/>
    </row>
    <row r="433" spans="8:8" ht="13" hidden="1">
      <c r="H433" s="226"/>
    </row>
    <row r="434" spans="8:8" ht="13" hidden="1">
      <c r="H434" s="226"/>
    </row>
    <row r="435" spans="8:8" ht="13" hidden="1">
      <c r="H435" s="226"/>
    </row>
    <row r="436" spans="8:8" ht="13" hidden="1">
      <c r="H436" s="226"/>
    </row>
    <row r="437" spans="8:8" ht="13" hidden="1">
      <c r="H437" s="226"/>
    </row>
    <row r="438" spans="8:8" ht="13" hidden="1">
      <c r="H438" s="226"/>
    </row>
    <row r="439" spans="8:8" ht="13" hidden="1">
      <c r="H439" s="226"/>
    </row>
    <row r="440" spans="8:8" ht="13" hidden="1">
      <c r="H440" s="226"/>
    </row>
    <row r="441" spans="8:8" ht="13" hidden="1">
      <c r="H441" s="226"/>
    </row>
    <row r="442" spans="8:8" ht="13" hidden="1">
      <c r="H442" s="226"/>
    </row>
    <row r="443" spans="8:8" ht="13" hidden="1">
      <c r="H443" s="226"/>
    </row>
    <row r="444" spans="8:8" ht="13" hidden="1">
      <c r="H444" s="226"/>
    </row>
    <row r="445" spans="8:8" ht="13" hidden="1">
      <c r="H445" s="226"/>
    </row>
    <row r="446" spans="8:8" ht="13" hidden="1">
      <c r="H446" s="226"/>
    </row>
    <row r="447" spans="8:8" ht="13" hidden="1">
      <c r="H447" s="226"/>
    </row>
    <row r="448" spans="8:8" ht="13" hidden="1">
      <c r="H448" s="226"/>
    </row>
    <row r="449" spans="8:8" ht="13" hidden="1">
      <c r="H449" s="226"/>
    </row>
    <row r="450" spans="8:8" ht="13" hidden="1">
      <c r="H450" s="226"/>
    </row>
    <row r="451" spans="8:8" ht="13" hidden="1">
      <c r="H451" s="226"/>
    </row>
    <row r="452" spans="8:8" ht="13" hidden="1">
      <c r="H452" s="226"/>
    </row>
    <row r="453" spans="8:8" ht="13" hidden="1">
      <c r="H453" s="226"/>
    </row>
    <row r="454" spans="8:8" ht="13" hidden="1">
      <c r="H454" s="226"/>
    </row>
    <row r="455" spans="8:8" ht="13" hidden="1">
      <c r="H455" s="226"/>
    </row>
    <row r="456" spans="8:8" ht="13" hidden="1">
      <c r="H456" s="226"/>
    </row>
    <row r="457" spans="8:8" ht="13" hidden="1">
      <c r="H457" s="226"/>
    </row>
    <row r="458" spans="8:8" ht="13" hidden="1">
      <c r="H458" s="226"/>
    </row>
    <row r="459" spans="8:8" ht="13" hidden="1">
      <c r="H459" s="226"/>
    </row>
    <row r="460" spans="8:8" ht="13" hidden="1">
      <c r="H460" s="226"/>
    </row>
    <row r="461" spans="8:8" ht="13" hidden="1">
      <c r="H461" s="226"/>
    </row>
    <row r="462" spans="8:8" ht="13" hidden="1">
      <c r="H462" s="226"/>
    </row>
    <row r="463" spans="8:8" ht="13" hidden="1">
      <c r="H463" s="226"/>
    </row>
    <row r="464" spans="8:8" ht="13" hidden="1">
      <c r="H464" s="226"/>
    </row>
    <row r="465" spans="8:8" ht="13" hidden="1">
      <c r="H465" s="226"/>
    </row>
    <row r="466" spans="8:8" ht="13" hidden="1">
      <c r="H466" s="226"/>
    </row>
    <row r="467" spans="8:8" ht="13" hidden="1">
      <c r="H467" s="226"/>
    </row>
    <row r="468" spans="8:8" ht="13" hidden="1">
      <c r="H468" s="226"/>
    </row>
    <row r="469" spans="8:8" ht="13" hidden="1">
      <c r="H469" s="226"/>
    </row>
    <row r="470" spans="8:8" ht="13" hidden="1">
      <c r="H470" s="226"/>
    </row>
    <row r="471" spans="8:8" ht="13" hidden="1">
      <c r="H471" s="226"/>
    </row>
    <row r="472" spans="8:8" ht="13" hidden="1">
      <c r="H472" s="226"/>
    </row>
    <row r="473" spans="8:8" ht="13" hidden="1">
      <c r="H473" s="226"/>
    </row>
    <row r="474" spans="8:8" ht="13" hidden="1">
      <c r="H474" s="226"/>
    </row>
    <row r="475" spans="8:8" ht="13" hidden="1">
      <c r="H475" s="226"/>
    </row>
    <row r="476" spans="8:8" ht="13" hidden="1">
      <c r="H476" s="226"/>
    </row>
    <row r="477" spans="8:8" ht="13" hidden="1">
      <c r="H477" s="226"/>
    </row>
    <row r="478" spans="8:8" ht="13" hidden="1">
      <c r="H478" s="226"/>
    </row>
    <row r="479" spans="8:8" ht="13" hidden="1">
      <c r="H479" s="226"/>
    </row>
    <row r="480" spans="8:8" ht="13" hidden="1">
      <c r="H480" s="226"/>
    </row>
    <row r="481" spans="8:8" ht="13" hidden="1">
      <c r="H481" s="226"/>
    </row>
    <row r="482" spans="8:8" ht="13" hidden="1">
      <c r="H482" s="226"/>
    </row>
    <row r="483" spans="8:8" ht="13" hidden="1">
      <c r="H483" s="226"/>
    </row>
    <row r="484" spans="8:8" ht="13" hidden="1">
      <c r="H484" s="226"/>
    </row>
    <row r="485" spans="8:8" ht="13" hidden="1">
      <c r="H485" s="226"/>
    </row>
    <row r="486" spans="8:8" ht="13" hidden="1">
      <c r="H486" s="226"/>
    </row>
    <row r="487" spans="8:8" ht="13" hidden="1">
      <c r="H487" s="226"/>
    </row>
    <row r="488" spans="8:8" ht="13" hidden="1">
      <c r="H488" s="226"/>
    </row>
    <row r="489" spans="8:8" ht="13" hidden="1">
      <c r="H489" s="226"/>
    </row>
    <row r="490" spans="8:8" ht="13" hidden="1">
      <c r="H490" s="226"/>
    </row>
    <row r="491" spans="8:8" ht="13" hidden="1">
      <c r="H491" s="226"/>
    </row>
    <row r="492" spans="8:8" ht="13" hidden="1">
      <c r="H492" s="226"/>
    </row>
    <row r="493" spans="8:8" ht="13" hidden="1">
      <c r="H493" s="226"/>
    </row>
    <row r="494" spans="8:8" ht="13" hidden="1">
      <c r="H494" s="226"/>
    </row>
    <row r="495" spans="8:8" ht="13" hidden="1">
      <c r="H495" s="226"/>
    </row>
    <row r="496" spans="8:8" ht="13" hidden="1">
      <c r="H496" s="226"/>
    </row>
    <row r="497" spans="8:8" ht="13" hidden="1">
      <c r="H497" s="226"/>
    </row>
    <row r="498" spans="8:8" ht="13" hidden="1">
      <c r="H498" s="226"/>
    </row>
    <row r="499" spans="8:8" ht="13" hidden="1">
      <c r="H499" s="226"/>
    </row>
    <row r="500" spans="8:8" ht="13" hidden="1">
      <c r="H500" s="226"/>
    </row>
    <row r="501" spans="8:8" ht="13" hidden="1">
      <c r="H501" s="226"/>
    </row>
    <row r="502" spans="8:8" ht="13" hidden="1">
      <c r="H502" s="226"/>
    </row>
    <row r="503" spans="8:8" ht="13" hidden="1">
      <c r="H503" s="226"/>
    </row>
    <row r="504" spans="8:8" ht="13" hidden="1">
      <c r="H504" s="226"/>
    </row>
    <row r="505" spans="8:8" ht="13" hidden="1">
      <c r="H505" s="226"/>
    </row>
    <row r="506" spans="8:8" ht="13" hidden="1">
      <c r="H506" s="226"/>
    </row>
    <row r="507" spans="8:8" ht="13" hidden="1">
      <c r="H507" s="226"/>
    </row>
    <row r="508" spans="8:8" ht="13" hidden="1">
      <c r="H508" s="226"/>
    </row>
    <row r="509" spans="8:8" ht="13" hidden="1">
      <c r="H509" s="226"/>
    </row>
    <row r="510" spans="8:8" ht="13" hidden="1">
      <c r="H510" s="226"/>
    </row>
    <row r="511" spans="8:8" ht="13" hidden="1">
      <c r="H511" s="226"/>
    </row>
    <row r="512" spans="8:8" ht="13" hidden="1">
      <c r="H512" s="226"/>
    </row>
    <row r="513" spans="8:8" ht="13" hidden="1">
      <c r="H513" s="226"/>
    </row>
    <row r="514" spans="8:8" ht="13" hidden="1">
      <c r="H514" s="226"/>
    </row>
    <row r="515" spans="8:8" ht="13" hidden="1">
      <c r="H515" s="226"/>
    </row>
    <row r="516" spans="8:8" ht="13" hidden="1">
      <c r="H516" s="226"/>
    </row>
    <row r="517" spans="8:8" ht="13" hidden="1">
      <c r="H517" s="226"/>
    </row>
    <row r="518" spans="8:8" ht="13" hidden="1">
      <c r="H518" s="226"/>
    </row>
    <row r="519" spans="8:8" ht="13" hidden="1">
      <c r="H519" s="226"/>
    </row>
    <row r="520" spans="8:8" ht="13" hidden="1">
      <c r="H520" s="226"/>
    </row>
    <row r="521" spans="8:8" ht="13" hidden="1">
      <c r="H521" s="226"/>
    </row>
    <row r="522" spans="8:8" ht="13" hidden="1">
      <c r="H522" s="226"/>
    </row>
    <row r="523" spans="8:8" ht="13" hidden="1">
      <c r="H523" s="226"/>
    </row>
    <row r="524" spans="8:8" ht="13" hidden="1">
      <c r="H524" s="226"/>
    </row>
    <row r="525" spans="8:8" ht="13" hidden="1">
      <c r="H525" s="226"/>
    </row>
    <row r="526" spans="8:8" ht="13" hidden="1">
      <c r="H526" s="226"/>
    </row>
    <row r="527" spans="8:8" ht="13" hidden="1">
      <c r="H527" s="226"/>
    </row>
    <row r="528" spans="8:8" ht="13" hidden="1">
      <c r="H528" s="226"/>
    </row>
    <row r="529" spans="8:8" ht="13" hidden="1">
      <c r="H529" s="226"/>
    </row>
    <row r="530" spans="8:8" ht="13" hidden="1">
      <c r="H530" s="226"/>
    </row>
    <row r="531" spans="8:8" ht="13" hidden="1">
      <c r="H531" s="226"/>
    </row>
    <row r="532" spans="8:8" ht="13" hidden="1">
      <c r="H532" s="226"/>
    </row>
    <row r="533" spans="8:8" ht="13" hidden="1">
      <c r="H533" s="226"/>
    </row>
    <row r="534" spans="8:8" ht="13" hidden="1">
      <c r="H534" s="226"/>
    </row>
    <row r="535" spans="8:8" ht="13" hidden="1">
      <c r="H535" s="226"/>
    </row>
    <row r="536" spans="8:8" ht="13" hidden="1">
      <c r="H536" s="226"/>
    </row>
    <row r="537" spans="8:8" ht="13" hidden="1">
      <c r="H537" s="226"/>
    </row>
    <row r="538" spans="8:8" ht="13" hidden="1">
      <c r="H538" s="226"/>
    </row>
    <row r="539" spans="8:8" ht="13" hidden="1">
      <c r="H539" s="226"/>
    </row>
    <row r="540" spans="8:8" ht="13" hidden="1">
      <c r="H540" s="226"/>
    </row>
    <row r="541" spans="8:8" ht="13" hidden="1">
      <c r="H541" s="226"/>
    </row>
    <row r="542" spans="8:8" ht="13" hidden="1">
      <c r="H542" s="226"/>
    </row>
    <row r="543" spans="8:8" ht="13" hidden="1">
      <c r="H543" s="226"/>
    </row>
    <row r="544" spans="8:8" ht="13" hidden="1">
      <c r="H544" s="226"/>
    </row>
    <row r="545" spans="8:8" ht="13" hidden="1">
      <c r="H545" s="226"/>
    </row>
    <row r="546" spans="8:8" ht="13" hidden="1">
      <c r="H546" s="226"/>
    </row>
    <row r="547" spans="8:8" ht="13" hidden="1">
      <c r="H547" s="226"/>
    </row>
    <row r="548" spans="8:8" ht="13" hidden="1">
      <c r="H548" s="226"/>
    </row>
    <row r="549" spans="8:8" ht="13" hidden="1">
      <c r="H549" s="226"/>
    </row>
    <row r="550" spans="8:8" ht="13" hidden="1">
      <c r="H550" s="226"/>
    </row>
    <row r="551" spans="8:8" ht="13" hidden="1">
      <c r="H551" s="226"/>
    </row>
    <row r="552" spans="8:8" ht="13" hidden="1">
      <c r="H552" s="226"/>
    </row>
    <row r="553" spans="8:8" ht="13" hidden="1">
      <c r="H553" s="226"/>
    </row>
    <row r="554" spans="8:8" ht="13" hidden="1">
      <c r="H554" s="226"/>
    </row>
    <row r="555" spans="8:8" ht="13" hidden="1">
      <c r="H555" s="226"/>
    </row>
    <row r="556" spans="8:8" ht="13" hidden="1">
      <c r="H556" s="226"/>
    </row>
    <row r="557" spans="8:8" ht="13" hidden="1">
      <c r="H557" s="226"/>
    </row>
    <row r="558" spans="8:8" ht="13" hidden="1">
      <c r="H558" s="226"/>
    </row>
    <row r="559" spans="8:8" ht="13" hidden="1">
      <c r="H559" s="226"/>
    </row>
    <row r="560" spans="8:8" ht="13" hidden="1">
      <c r="H560" s="226"/>
    </row>
    <row r="561" spans="8:8" ht="13" hidden="1">
      <c r="H561" s="226"/>
    </row>
    <row r="562" spans="8:8" ht="13" hidden="1">
      <c r="H562" s="226"/>
    </row>
    <row r="563" spans="8:8" ht="13" hidden="1">
      <c r="H563" s="226"/>
    </row>
    <row r="564" spans="8:8" ht="13" hidden="1">
      <c r="H564" s="226"/>
    </row>
    <row r="565" spans="8:8" ht="13" hidden="1">
      <c r="H565" s="226"/>
    </row>
    <row r="566" spans="8:8" ht="13" hidden="1">
      <c r="H566" s="226"/>
    </row>
    <row r="567" spans="8:8" ht="13" hidden="1">
      <c r="H567" s="226"/>
    </row>
    <row r="568" spans="8:8" ht="13" hidden="1">
      <c r="H568" s="226"/>
    </row>
    <row r="569" spans="8:8" ht="13" hidden="1">
      <c r="H569" s="226"/>
    </row>
    <row r="570" spans="8:8" ht="13" hidden="1">
      <c r="H570" s="226"/>
    </row>
    <row r="571" spans="8:8" ht="13" hidden="1">
      <c r="H571" s="226"/>
    </row>
    <row r="572" spans="8:8" ht="13" hidden="1">
      <c r="H572" s="226"/>
    </row>
    <row r="573" spans="8:8" ht="13" hidden="1">
      <c r="H573" s="226"/>
    </row>
    <row r="574" spans="8:8" ht="13" hidden="1">
      <c r="H574" s="226"/>
    </row>
    <row r="575" spans="8:8" ht="13" hidden="1">
      <c r="H575" s="226"/>
    </row>
    <row r="576" spans="8:8" ht="13" hidden="1">
      <c r="H576" s="226"/>
    </row>
    <row r="577" spans="8:8" ht="13" hidden="1">
      <c r="H577" s="226"/>
    </row>
    <row r="578" spans="8:8" ht="13" hidden="1">
      <c r="H578" s="226"/>
    </row>
    <row r="579" spans="8:8" ht="13" hidden="1">
      <c r="H579" s="226"/>
    </row>
    <row r="580" spans="8:8" ht="13" hidden="1">
      <c r="H580" s="226"/>
    </row>
    <row r="581" spans="8:8" ht="13" hidden="1">
      <c r="H581" s="226"/>
    </row>
    <row r="582" spans="8:8" ht="13" hidden="1">
      <c r="H582" s="226"/>
    </row>
    <row r="583" spans="8:8" ht="13" hidden="1">
      <c r="H583" s="226"/>
    </row>
    <row r="584" spans="8:8" ht="13" hidden="1">
      <c r="H584" s="226"/>
    </row>
    <row r="585" spans="8:8" ht="13" hidden="1">
      <c r="H585" s="226"/>
    </row>
    <row r="586" spans="8:8" ht="13" hidden="1">
      <c r="H586" s="226"/>
    </row>
    <row r="587" spans="8:8" ht="13" hidden="1">
      <c r="H587" s="226"/>
    </row>
    <row r="588" spans="8:8" ht="13" hidden="1">
      <c r="H588" s="226"/>
    </row>
    <row r="589" spans="8:8" ht="13" hidden="1">
      <c r="H589" s="226"/>
    </row>
    <row r="590" spans="8:8" ht="13" hidden="1">
      <c r="H590" s="226"/>
    </row>
    <row r="591" spans="8:8" ht="13" hidden="1">
      <c r="H591" s="226"/>
    </row>
    <row r="592" spans="8:8" ht="13" hidden="1">
      <c r="H592" s="226"/>
    </row>
    <row r="593" spans="8:8" ht="13" hidden="1">
      <c r="H593" s="226"/>
    </row>
    <row r="594" spans="8:8" ht="13" hidden="1">
      <c r="H594" s="226"/>
    </row>
    <row r="595" spans="8:8" ht="13" hidden="1">
      <c r="H595" s="226"/>
    </row>
    <row r="596" spans="8:8" ht="13" hidden="1">
      <c r="H596" s="226"/>
    </row>
    <row r="597" spans="8:8" ht="13" hidden="1">
      <c r="H597" s="226"/>
    </row>
    <row r="598" spans="8:8" ht="13" hidden="1">
      <c r="H598" s="226"/>
    </row>
    <row r="599" spans="8:8" ht="13" hidden="1">
      <c r="H599" s="226"/>
    </row>
    <row r="600" spans="8:8" ht="13" hidden="1">
      <c r="H600" s="226"/>
    </row>
    <row r="601" spans="8:8" ht="13" hidden="1">
      <c r="H601" s="226"/>
    </row>
    <row r="602" spans="8:8" ht="13" hidden="1">
      <c r="H602" s="226"/>
    </row>
    <row r="603" spans="8:8" ht="13" hidden="1">
      <c r="H603" s="226"/>
    </row>
    <row r="604" spans="8:8" ht="13" hidden="1">
      <c r="H604" s="226"/>
    </row>
    <row r="605" spans="8:8" ht="13" hidden="1">
      <c r="H605" s="226"/>
    </row>
    <row r="606" spans="8:8" ht="13" hidden="1">
      <c r="H606" s="226"/>
    </row>
    <row r="607" spans="8:8" ht="13" hidden="1">
      <c r="H607" s="226"/>
    </row>
    <row r="608" spans="8:8" ht="13" hidden="1">
      <c r="H608" s="226"/>
    </row>
    <row r="609" spans="8:8" ht="13" hidden="1">
      <c r="H609" s="226"/>
    </row>
    <row r="610" spans="8:8" ht="13" hidden="1">
      <c r="H610" s="226"/>
    </row>
    <row r="611" spans="8:8" ht="13" hidden="1">
      <c r="H611" s="226"/>
    </row>
    <row r="612" spans="8:8" ht="13" hidden="1">
      <c r="H612" s="226"/>
    </row>
    <row r="613" spans="8:8" ht="13" hidden="1">
      <c r="H613" s="226"/>
    </row>
    <row r="614" spans="8:8" ht="13" hidden="1">
      <c r="H614" s="226"/>
    </row>
    <row r="615" spans="8:8" ht="13" hidden="1">
      <c r="H615" s="226"/>
    </row>
    <row r="616" spans="8:8" ht="13" hidden="1">
      <c r="H616" s="226"/>
    </row>
    <row r="617" spans="8:8" ht="13" hidden="1">
      <c r="H617" s="226"/>
    </row>
    <row r="618" spans="8:8" ht="13" hidden="1">
      <c r="H618" s="226"/>
    </row>
    <row r="619" spans="8:8" ht="13" hidden="1">
      <c r="H619" s="226"/>
    </row>
    <row r="620" spans="8:8" ht="13" hidden="1">
      <c r="H620" s="226"/>
    </row>
    <row r="621" spans="8:8" ht="13" hidden="1">
      <c r="H621" s="226"/>
    </row>
    <row r="622" spans="8:8" ht="13" hidden="1">
      <c r="H622" s="226"/>
    </row>
    <row r="623" spans="8:8" ht="13" hidden="1">
      <c r="H623" s="226"/>
    </row>
    <row r="624" spans="8:8" ht="13" hidden="1">
      <c r="H624" s="226"/>
    </row>
    <row r="625" spans="8:8" ht="13" hidden="1">
      <c r="H625" s="226"/>
    </row>
    <row r="626" spans="8:8" ht="13" hidden="1">
      <c r="H626" s="226"/>
    </row>
    <row r="627" spans="8:8" ht="13" hidden="1">
      <c r="H627" s="226"/>
    </row>
    <row r="628" spans="8:8" ht="13" hidden="1">
      <c r="H628" s="226"/>
    </row>
    <row r="629" spans="8:8" ht="13" hidden="1">
      <c r="H629" s="226"/>
    </row>
    <row r="630" spans="8:8" ht="13" hidden="1">
      <c r="H630" s="226"/>
    </row>
    <row r="631" spans="8:8" ht="13" hidden="1">
      <c r="H631" s="226"/>
    </row>
    <row r="632" spans="8:8" ht="13" hidden="1">
      <c r="H632" s="226"/>
    </row>
    <row r="633" spans="8:8" ht="13" hidden="1">
      <c r="H633" s="226"/>
    </row>
    <row r="634" spans="8:8" ht="13" hidden="1">
      <c r="H634" s="226"/>
    </row>
    <row r="635" spans="8:8" ht="13" hidden="1">
      <c r="H635" s="226"/>
    </row>
    <row r="636" spans="8:8" ht="13" hidden="1">
      <c r="H636" s="226"/>
    </row>
    <row r="637" spans="8:8" ht="13" hidden="1">
      <c r="H637" s="226"/>
    </row>
    <row r="638" spans="8:8" ht="13" hidden="1">
      <c r="H638" s="226"/>
    </row>
    <row r="639" spans="8:8" ht="13" hidden="1">
      <c r="H639" s="226"/>
    </row>
    <row r="640" spans="8:8" ht="13" hidden="1">
      <c r="H640" s="226"/>
    </row>
    <row r="641" spans="8:8" ht="13" hidden="1">
      <c r="H641" s="226"/>
    </row>
    <row r="642" spans="8:8" ht="13" hidden="1">
      <c r="H642" s="226"/>
    </row>
    <row r="643" spans="8:8" ht="13" hidden="1">
      <c r="H643" s="226"/>
    </row>
    <row r="644" spans="8:8" ht="13" hidden="1">
      <c r="H644" s="226"/>
    </row>
    <row r="645" spans="8:8" ht="13" hidden="1">
      <c r="H645" s="226"/>
    </row>
    <row r="646" spans="8:8" ht="13" hidden="1">
      <c r="H646" s="226"/>
    </row>
    <row r="647" spans="8:8" ht="13" hidden="1">
      <c r="H647" s="226"/>
    </row>
    <row r="648" spans="8:8" ht="13" hidden="1">
      <c r="H648" s="226"/>
    </row>
    <row r="649" spans="8:8" ht="13" hidden="1">
      <c r="H649" s="226"/>
    </row>
    <row r="650" spans="8:8" ht="13" hidden="1">
      <c r="H650" s="226"/>
    </row>
    <row r="651" spans="8:8" ht="13" hidden="1">
      <c r="H651" s="226"/>
    </row>
    <row r="652" spans="8:8" ht="13" hidden="1">
      <c r="H652" s="226"/>
    </row>
    <row r="653" spans="8:8" ht="13" hidden="1">
      <c r="H653" s="226"/>
    </row>
    <row r="654" spans="8:8" ht="13" hidden="1">
      <c r="H654" s="226"/>
    </row>
    <row r="655" spans="8:8" ht="13" hidden="1">
      <c r="H655" s="226"/>
    </row>
    <row r="656" spans="8:8" ht="13" hidden="1">
      <c r="H656" s="226"/>
    </row>
    <row r="657" spans="8:8" ht="13" hidden="1">
      <c r="H657" s="226"/>
    </row>
    <row r="658" spans="8:8" ht="13" hidden="1">
      <c r="H658" s="226"/>
    </row>
    <row r="659" spans="8:8" ht="13" hidden="1">
      <c r="H659" s="226"/>
    </row>
    <row r="660" spans="8:8" ht="13" hidden="1">
      <c r="H660" s="226"/>
    </row>
    <row r="661" spans="8:8" ht="13" hidden="1">
      <c r="H661" s="226"/>
    </row>
    <row r="662" spans="8:8" ht="13" hidden="1">
      <c r="H662" s="226"/>
    </row>
    <row r="663" spans="8:8" ht="13" hidden="1">
      <c r="H663" s="226"/>
    </row>
    <row r="664" spans="8:8" ht="13" hidden="1">
      <c r="H664" s="226"/>
    </row>
    <row r="665" spans="8:8" ht="13" hidden="1">
      <c r="H665" s="226"/>
    </row>
    <row r="666" spans="8:8" ht="13" hidden="1">
      <c r="H666" s="226"/>
    </row>
    <row r="667" spans="8:8" ht="13" hidden="1">
      <c r="H667" s="226"/>
    </row>
    <row r="668" spans="8:8" ht="13" hidden="1">
      <c r="H668" s="226"/>
    </row>
    <row r="669" spans="8:8" ht="13" hidden="1">
      <c r="H669" s="226"/>
    </row>
    <row r="670" spans="8:8" ht="13" hidden="1">
      <c r="H670" s="226"/>
    </row>
    <row r="671" spans="8:8" ht="13" hidden="1">
      <c r="H671" s="226"/>
    </row>
    <row r="672" spans="8:8" ht="13" hidden="1">
      <c r="H672" s="226"/>
    </row>
    <row r="673" spans="8:8" ht="13" hidden="1">
      <c r="H673" s="226"/>
    </row>
    <row r="674" spans="8:8" ht="13" hidden="1">
      <c r="H674" s="226"/>
    </row>
    <row r="675" spans="8:8" ht="13" hidden="1">
      <c r="H675" s="226"/>
    </row>
    <row r="676" spans="8:8" ht="13" hidden="1">
      <c r="H676" s="226"/>
    </row>
    <row r="677" spans="8:8" ht="13" hidden="1">
      <c r="H677" s="226"/>
    </row>
    <row r="678" spans="8:8" ht="13" hidden="1">
      <c r="H678" s="226"/>
    </row>
    <row r="679" spans="8:8" ht="13" hidden="1">
      <c r="H679" s="226"/>
    </row>
    <row r="680" spans="8:8" ht="13" hidden="1">
      <c r="H680" s="226"/>
    </row>
    <row r="681" spans="8:8" ht="13" hidden="1">
      <c r="H681" s="226"/>
    </row>
    <row r="682" spans="8:8" ht="13" hidden="1">
      <c r="H682" s="226"/>
    </row>
    <row r="683" spans="8:8" ht="13" hidden="1">
      <c r="H683" s="226"/>
    </row>
    <row r="684" spans="8:8" ht="13" hidden="1">
      <c r="H684" s="226"/>
    </row>
    <row r="685" spans="8:8" ht="13" hidden="1">
      <c r="H685" s="226"/>
    </row>
    <row r="686" spans="8:8" ht="13" hidden="1">
      <c r="H686" s="226"/>
    </row>
    <row r="687" spans="8:8" ht="13" hidden="1">
      <c r="H687" s="226"/>
    </row>
    <row r="688" spans="8:8" ht="13" hidden="1">
      <c r="H688" s="226"/>
    </row>
    <row r="689" spans="8:8" ht="13" hidden="1">
      <c r="H689" s="226"/>
    </row>
    <row r="690" spans="8:8" ht="13" hidden="1">
      <c r="H690" s="226"/>
    </row>
    <row r="691" spans="8:8" ht="13" hidden="1">
      <c r="H691" s="226"/>
    </row>
    <row r="692" spans="8:8" ht="13" hidden="1">
      <c r="H692" s="226"/>
    </row>
    <row r="693" spans="8:8" ht="13" hidden="1">
      <c r="H693" s="226"/>
    </row>
    <row r="694" spans="8:8" ht="13" hidden="1">
      <c r="H694" s="226"/>
    </row>
    <row r="695" spans="8:8" ht="13" hidden="1">
      <c r="H695" s="226"/>
    </row>
    <row r="696" spans="8:8" ht="13" hidden="1">
      <c r="H696" s="226"/>
    </row>
    <row r="697" spans="8:8" ht="13" hidden="1">
      <c r="H697" s="226"/>
    </row>
    <row r="698" spans="8:8" ht="13" hidden="1">
      <c r="H698" s="226"/>
    </row>
    <row r="699" spans="8:8" ht="13" hidden="1">
      <c r="H699" s="226"/>
    </row>
    <row r="700" spans="8:8" ht="13" hidden="1">
      <c r="H700" s="226"/>
    </row>
    <row r="701" spans="8:8" ht="13" hidden="1">
      <c r="H701" s="226"/>
    </row>
    <row r="702" spans="8:8" ht="13" hidden="1">
      <c r="H702" s="226"/>
    </row>
    <row r="703" spans="8:8" ht="13" hidden="1">
      <c r="H703" s="226"/>
    </row>
    <row r="704" spans="8:8" ht="13" hidden="1">
      <c r="H704" s="226"/>
    </row>
    <row r="705" spans="8:8" ht="13" hidden="1">
      <c r="H705" s="226"/>
    </row>
    <row r="706" spans="8:8" ht="13" hidden="1">
      <c r="H706" s="226"/>
    </row>
    <row r="707" spans="8:8" ht="13" hidden="1">
      <c r="H707" s="226"/>
    </row>
    <row r="708" spans="8:8" ht="13" hidden="1">
      <c r="H708" s="226"/>
    </row>
    <row r="709" spans="8:8" ht="13" hidden="1">
      <c r="H709" s="226"/>
    </row>
    <row r="710" spans="8:8" ht="13" hidden="1">
      <c r="H710" s="226"/>
    </row>
    <row r="711" spans="8:8" ht="13" hidden="1">
      <c r="H711" s="226"/>
    </row>
    <row r="712" spans="8:8" ht="13" hidden="1">
      <c r="H712" s="226"/>
    </row>
    <row r="713" spans="8:8" ht="13" hidden="1">
      <c r="H713" s="226"/>
    </row>
    <row r="714" spans="8:8" ht="13" hidden="1">
      <c r="H714" s="226"/>
    </row>
    <row r="715" spans="8:8" ht="13" hidden="1">
      <c r="H715" s="226"/>
    </row>
    <row r="716" spans="8:8" ht="13" hidden="1">
      <c r="H716" s="226"/>
    </row>
    <row r="717" spans="8:8" ht="13" hidden="1">
      <c r="H717" s="226"/>
    </row>
    <row r="718" spans="8:8" ht="13" hidden="1">
      <c r="H718" s="226"/>
    </row>
    <row r="719" spans="8:8" ht="13" hidden="1">
      <c r="H719" s="226"/>
    </row>
    <row r="720" spans="8:8" ht="13" hidden="1">
      <c r="H720" s="226"/>
    </row>
    <row r="721" spans="8:8" ht="13" hidden="1">
      <c r="H721" s="226"/>
    </row>
    <row r="722" spans="8:8" ht="13" hidden="1">
      <c r="H722" s="226"/>
    </row>
    <row r="723" spans="8:8" ht="13" hidden="1">
      <c r="H723" s="226"/>
    </row>
    <row r="724" spans="8:8" ht="13" hidden="1">
      <c r="H724" s="226"/>
    </row>
    <row r="725" spans="8:8" ht="13" hidden="1">
      <c r="H725" s="226"/>
    </row>
    <row r="726" spans="8:8" ht="13" hidden="1">
      <c r="H726" s="226"/>
    </row>
    <row r="727" spans="8:8" ht="13" hidden="1">
      <c r="H727" s="226"/>
    </row>
    <row r="728" spans="8:8" ht="13" hidden="1">
      <c r="H728" s="226"/>
    </row>
    <row r="729" spans="8:8" ht="13" hidden="1">
      <c r="H729" s="226"/>
    </row>
    <row r="730" spans="8:8" ht="13" hidden="1">
      <c r="H730" s="226"/>
    </row>
    <row r="731" spans="8:8" ht="13" hidden="1">
      <c r="H731" s="226"/>
    </row>
    <row r="732" spans="8:8" ht="13" hidden="1">
      <c r="H732" s="226"/>
    </row>
    <row r="733" spans="8:8" ht="13" hidden="1">
      <c r="H733" s="226"/>
    </row>
    <row r="734" spans="8:8" ht="13" hidden="1">
      <c r="H734" s="226"/>
    </row>
    <row r="735" spans="8:8" ht="13" hidden="1">
      <c r="H735" s="226"/>
    </row>
    <row r="736" spans="8:8" ht="13" hidden="1">
      <c r="H736" s="226"/>
    </row>
    <row r="737" spans="8:8" ht="13" hidden="1">
      <c r="H737" s="226"/>
    </row>
    <row r="738" spans="8:8" ht="13" hidden="1">
      <c r="H738" s="226"/>
    </row>
    <row r="739" spans="8:8" ht="13" hidden="1">
      <c r="H739" s="226"/>
    </row>
    <row r="740" spans="8:8" ht="13" hidden="1">
      <c r="H740" s="226"/>
    </row>
    <row r="741" spans="8:8" ht="13" hidden="1">
      <c r="H741" s="226"/>
    </row>
    <row r="742" spans="8:8" ht="13" hidden="1">
      <c r="H742" s="226"/>
    </row>
    <row r="743" spans="8:8" ht="13" hidden="1">
      <c r="H743" s="226"/>
    </row>
    <row r="744" spans="8:8" ht="13" hidden="1">
      <c r="H744" s="226"/>
    </row>
    <row r="745" spans="8:8" ht="13" hidden="1">
      <c r="H745" s="226"/>
    </row>
    <row r="746" spans="8:8" ht="13" hidden="1">
      <c r="H746" s="226"/>
    </row>
    <row r="747" spans="8:8" ht="13" hidden="1">
      <c r="H747" s="226"/>
    </row>
    <row r="748" spans="8:8" ht="13" hidden="1">
      <c r="H748" s="226"/>
    </row>
    <row r="749" spans="8:8" ht="13" hidden="1">
      <c r="H749" s="226"/>
    </row>
    <row r="750" spans="8:8" ht="13" hidden="1">
      <c r="H750" s="226"/>
    </row>
    <row r="751" spans="8:8" ht="13" hidden="1">
      <c r="H751" s="226"/>
    </row>
    <row r="752" spans="8:8" ht="13" hidden="1">
      <c r="H752" s="226"/>
    </row>
    <row r="753" spans="8:8" ht="13" hidden="1">
      <c r="H753" s="226"/>
    </row>
    <row r="754" spans="8:8" ht="13" hidden="1">
      <c r="H754" s="226"/>
    </row>
    <row r="755" spans="8:8" ht="13" hidden="1">
      <c r="H755" s="226"/>
    </row>
    <row r="756" spans="8:8" ht="13" hidden="1">
      <c r="H756" s="226"/>
    </row>
    <row r="757" spans="8:8" ht="13" hidden="1">
      <c r="H757" s="226"/>
    </row>
    <row r="758" spans="8:8" ht="13" hidden="1">
      <c r="H758" s="226"/>
    </row>
    <row r="759" spans="8:8" ht="13" hidden="1">
      <c r="H759" s="226"/>
    </row>
    <row r="760" spans="8:8" ht="13" hidden="1">
      <c r="H760" s="226"/>
    </row>
    <row r="761" spans="8:8" ht="13" hidden="1">
      <c r="H761" s="226"/>
    </row>
    <row r="762" spans="8:8" ht="13" hidden="1">
      <c r="H762" s="226"/>
    </row>
    <row r="763" spans="8:8" ht="13" hidden="1">
      <c r="H763" s="226"/>
    </row>
    <row r="764" spans="8:8" ht="13" hidden="1">
      <c r="H764" s="226"/>
    </row>
    <row r="765" spans="8:8" ht="13" hidden="1">
      <c r="H765" s="226"/>
    </row>
    <row r="766" spans="8:8" ht="13" hidden="1">
      <c r="H766" s="226"/>
    </row>
    <row r="767" spans="8:8" ht="13" hidden="1">
      <c r="H767" s="226"/>
    </row>
    <row r="768" spans="8:8" ht="13" hidden="1">
      <c r="H768" s="226"/>
    </row>
    <row r="769" spans="8:8" ht="13" hidden="1">
      <c r="H769" s="226"/>
    </row>
    <row r="770" spans="8:8" ht="13" hidden="1">
      <c r="H770" s="226"/>
    </row>
    <row r="771" spans="8:8" ht="13" hidden="1">
      <c r="H771" s="226"/>
    </row>
    <row r="772" spans="8:8" ht="13" hidden="1">
      <c r="H772" s="226"/>
    </row>
    <row r="773" spans="8:8" ht="13" hidden="1">
      <c r="H773" s="226"/>
    </row>
    <row r="774" spans="8:8" ht="13" hidden="1">
      <c r="H774" s="226"/>
    </row>
    <row r="775" spans="8:8" ht="13" hidden="1">
      <c r="H775" s="226"/>
    </row>
    <row r="776" spans="8:8" ht="13" hidden="1">
      <c r="H776" s="226"/>
    </row>
    <row r="777" spans="8:8" ht="13" hidden="1">
      <c r="H777" s="226"/>
    </row>
    <row r="778" spans="8:8" ht="13" hidden="1">
      <c r="H778" s="226"/>
    </row>
    <row r="779" spans="8:8" ht="13" hidden="1">
      <c r="H779" s="226"/>
    </row>
    <row r="780" spans="8:8" ht="13" hidden="1">
      <c r="H780" s="226"/>
    </row>
    <row r="781" spans="8:8" ht="13" hidden="1">
      <c r="H781" s="226"/>
    </row>
    <row r="782" spans="8:8" ht="13" hidden="1">
      <c r="H782" s="226"/>
    </row>
    <row r="783" spans="8:8" ht="13" hidden="1">
      <c r="H783" s="226"/>
    </row>
    <row r="784" spans="8:8" ht="13" hidden="1">
      <c r="H784" s="226"/>
    </row>
    <row r="785" spans="8:8" ht="13" hidden="1">
      <c r="H785" s="226"/>
    </row>
    <row r="786" spans="8:8" ht="13" hidden="1">
      <c r="H786" s="226"/>
    </row>
    <row r="787" spans="8:8" ht="13" hidden="1">
      <c r="H787" s="226"/>
    </row>
    <row r="788" spans="8:8" ht="13" hidden="1">
      <c r="H788" s="226"/>
    </row>
    <row r="789" spans="8:8" ht="13" hidden="1">
      <c r="H789" s="226"/>
    </row>
    <row r="790" spans="8:8" ht="13" hidden="1">
      <c r="H790" s="226"/>
    </row>
    <row r="791" spans="8:8" ht="13" hidden="1">
      <c r="H791" s="226"/>
    </row>
    <row r="792" spans="8:8" ht="13" hidden="1">
      <c r="H792" s="226"/>
    </row>
    <row r="793" spans="8:8" ht="13" hidden="1">
      <c r="H793" s="226"/>
    </row>
    <row r="794" spans="8:8" ht="13" hidden="1">
      <c r="H794" s="226"/>
    </row>
    <row r="795" spans="8:8" ht="13" hidden="1">
      <c r="H795" s="226"/>
    </row>
    <row r="796" spans="8:8" ht="13" hidden="1">
      <c r="H796" s="226"/>
    </row>
    <row r="797" spans="8:8" ht="13" hidden="1">
      <c r="H797" s="226"/>
    </row>
    <row r="798" spans="8:8" ht="13" hidden="1">
      <c r="H798" s="226"/>
    </row>
    <row r="799" spans="8:8" ht="13" hidden="1">
      <c r="H799" s="226"/>
    </row>
    <row r="800" spans="8:8" ht="13" hidden="1">
      <c r="H800" s="226"/>
    </row>
    <row r="801" spans="8:8" ht="13" hidden="1">
      <c r="H801" s="226"/>
    </row>
    <row r="802" spans="8:8" ht="13" hidden="1">
      <c r="H802" s="226"/>
    </row>
    <row r="803" spans="8:8" ht="13" hidden="1">
      <c r="H803" s="226"/>
    </row>
    <row r="804" spans="8:8" ht="13" hidden="1">
      <c r="H804" s="226"/>
    </row>
    <row r="805" spans="8:8" ht="13" hidden="1">
      <c r="H805" s="226"/>
    </row>
    <row r="806" spans="8:8" ht="13" hidden="1">
      <c r="H806" s="226"/>
    </row>
    <row r="807" spans="8:8" ht="13" hidden="1">
      <c r="H807" s="226"/>
    </row>
    <row r="808" spans="8:8" ht="13" hidden="1">
      <c r="H808" s="226"/>
    </row>
    <row r="809" spans="8:8" ht="13" hidden="1">
      <c r="H809" s="226"/>
    </row>
    <row r="810" spans="8:8" ht="13" hidden="1">
      <c r="H810" s="226"/>
    </row>
    <row r="811" spans="8:8" ht="13" hidden="1">
      <c r="H811" s="226"/>
    </row>
    <row r="812" spans="8:8" ht="13" hidden="1">
      <c r="H812" s="226"/>
    </row>
    <row r="813" spans="8:8" ht="13" hidden="1">
      <c r="H813" s="226"/>
    </row>
    <row r="814" spans="8:8" ht="13" hidden="1">
      <c r="H814" s="226"/>
    </row>
    <row r="815" spans="8:8" ht="13" hidden="1">
      <c r="H815" s="226"/>
    </row>
    <row r="816" spans="8:8" ht="13" hidden="1">
      <c r="H816" s="226"/>
    </row>
    <row r="817" spans="8:8" ht="13" hidden="1">
      <c r="H817" s="226"/>
    </row>
    <row r="818" spans="8:8" ht="13" hidden="1">
      <c r="H818" s="226"/>
    </row>
    <row r="819" spans="8:8" ht="13" hidden="1">
      <c r="H819" s="226"/>
    </row>
    <row r="820" spans="8:8" ht="13" hidden="1">
      <c r="H820" s="226"/>
    </row>
    <row r="821" spans="8:8" ht="13" hidden="1">
      <c r="H821" s="226"/>
    </row>
    <row r="822" spans="8:8" ht="13" hidden="1">
      <c r="H822" s="226"/>
    </row>
    <row r="823" spans="8:8" ht="13" hidden="1">
      <c r="H823" s="226"/>
    </row>
    <row r="824" spans="8:8" ht="13" hidden="1">
      <c r="H824" s="226"/>
    </row>
    <row r="825" spans="8:8" ht="13" hidden="1">
      <c r="H825" s="226"/>
    </row>
    <row r="826" spans="8:8" ht="13" hidden="1">
      <c r="H826" s="226"/>
    </row>
    <row r="827" spans="8:8" ht="13" hidden="1">
      <c r="H827" s="226"/>
    </row>
    <row r="828" spans="8:8" ht="13" hidden="1">
      <c r="H828" s="226"/>
    </row>
    <row r="829" spans="8:8" ht="13" hidden="1">
      <c r="H829" s="226"/>
    </row>
    <row r="830" spans="8:8" ht="13" hidden="1">
      <c r="H830" s="226"/>
    </row>
    <row r="831" spans="8:8" ht="13" hidden="1">
      <c r="H831" s="226"/>
    </row>
    <row r="832" spans="8:8" ht="13" hidden="1">
      <c r="H832" s="226"/>
    </row>
    <row r="833" spans="8:8" ht="13" hidden="1">
      <c r="H833" s="226"/>
    </row>
    <row r="834" spans="8:8" ht="13" hidden="1">
      <c r="H834" s="226"/>
    </row>
    <row r="835" spans="8:8" ht="13" hidden="1">
      <c r="H835" s="226"/>
    </row>
    <row r="836" spans="8:8" ht="13" hidden="1">
      <c r="H836" s="226"/>
    </row>
    <row r="837" spans="8:8" ht="13" hidden="1">
      <c r="H837" s="226"/>
    </row>
    <row r="838" spans="8:8" ht="13" hidden="1">
      <c r="H838" s="226"/>
    </row>
    <row r="839" spans="8:8" ht="13" hidden="1">
      <c r="H839" s="226"/>
    </row>
    <row r="840" spans="8:8" ht="13" hidden="1">
      <c r="H840" s="226"/>
    </row>
    <row r="841" spans="8:8" ht="13" hidden="1">
      <c r="H841" s="226"/>
    </row>
    <row r="842" spans="8:8" ht="13" hidden="1">
      <c r="H842" s="226"/>
    </row>
    <row r="843" spans="8:8" ht="13" hidden="1">
      <c r="H843" s="226"/>
    </row>
    <row r="844" spans="8:8" ht="13" hidden="1">
      <c r="H844" s="226"/>
    </row>
    <row r="845" spans="8:8" ht="13" hidden="1">
      <c r="H845" s="226"/>
    </row>
    <row r="846" spans="8:8" ht="13" hidden="1">
      <c r="H846" s="226"/>
    </row>
    <row r="847" spans="8:8" ht="13" hidden="1">
      <c r="H847" s="226"/>
    </row>
    <row r="848" spans="8:8" ht="13" hidden="1">
      <c r="H848" s="226"/>
    </row>
    <row r="849" spans="8:8" ht="13" hidden="1">
      <c r="H849" s="226"/>
    </row>
    <row r="850" spans="8:8" ht="13" hidden="1">
      <c r="H850" s="226"/>
    </row>
    <row r="851" spans="8:8" ht="13" hidden="1">
      <c r="H851" s="226"/>
    </row>
    <row r="852" spans="8:8" ht="13" hidden="1">
      <c r="H852" s="226"/>
    </row>
    <row r="853" spans="8:8" ht="13" hidden="1">
      <c r="H853" s="226"/>
    </row>
    <row r="854" spans="8:8" ht="13" hidden="1">
      <c r="H854" s="226"/>
    </row>
    <row r="855" spans="8:8" ht="13" hidden="1">
      <c r="H855" s="226"/>
    </row>
    <row r="856" spans="8:8" ht="13" hidden="1">
      <c r="H856" s="226"/>
    </row>
    <row r="857" spans="8:8" ht="13" hidden="1">
      <c r="H857" s="226"/>
    </row>
    <row r="858" spans="8:8" ht="13" hidden="1">
      <c r="H858" s="226"/>
    </row>
    <row r="859" spans="8:8" ht="13" hidden="1">
      <c r="H859" s="226"/>
    </row>
    <row r="860" spans="8:8" ht="13" hidden="1">
      <c r="H860" s="226"/>
    </row>
    <row r="861" spans="8:8" ht="13" hidden="1">
      <c r="H861" s="226"/>
    </row>
    <row r="862" spans="8:8" ht="13" hidden="1">
      <c r="H862" s="226"/>
    </row>
    <row r="863" spans="8:8" ht="13" hidden="1">
      <c r="H863" s="226"/>
    </row>
    <row r="864" spans="8:8" ht="13" hidden="1">
      <c r="H864" s="226"/>
    </row>
    <row r="865" spans="8:8" ht="13" hidden="1">
      <c r="H865" s="226"/>
    </row>
    <row r="866" spans="8:8" ht="13" hidden="1">
      <c r="H866" s="226"/>
    </row>
    <row r="867" spans="8:8" ht="13" hidden="1">
      <c r="H867" s="226"/>
    </row>
    <row r="868" spans="8:8" ht="13" hidden="1">
      <c r="H868" s="226"/>
    </row>
    <row r="869" spans="8:8" ht="13" hidden="1">
      <c r="H869" s="226"/>
    </row>
    <row r="870" spans="8:8" ht="13" hidden="1">
      <c r="H870" s="226"/>
    </row>
    <row r="871" spans="8:8" ht="13" hidden="1">
      <c r="H871" s="226"/>
    </row>
    <row r="872" spans="8:8" ht="13" hidden="1">
      <c r="H872" s="226"/>
    </row>
    <row r="873" spans="8:8" ht="13" hidden="1">
      <c r="H873" s="226"/>
    </row>
    <row r="874" spans="8:8" ht="13" hidden="1">
      <c r="H874" s="226"/>
    </row>
    <row r="875" spans="8:8" ht="13" hidden="1">
      <c r="H875" s="226"/>
    </row>
    <row r="876" spans="8:8" ht="13" hidden="1">
      <c r="H876" s="226"/>
    </row>
    <row r="877" spans="8:8" ht="13" hidden="1">
      <c r="H877" s="226"/>
    </row>
    <row r="878" spans="8:8" ht="13" hidden="1">
      <c r="H878" s="226"/>
    </row>
    <row r="879" spans="8:8" ht="13" hidden="1">
      <c r="H879" s="226"/>
    </row>
    <row r="880" spans="8:8" ht="13" hidden="1">
      <c r="H880" s="226"/>
    </row>
    <row r="881" spans="8:8" ht="13" hidden="1">
      <c r="H881" s="226"/>
    </row>
    <row r="882" spans="8:8" ht="13" hidden="1">
      <c r="H882" s="226"/>
    </row>
    <row r="883" spans="8:8" ht="13" hidden="1">
      <c r="H883" s="226"/>
    </row>
    <row r="884" spans="8:8" ht="13" hidden="1">
      <c r="H884" s="226"/>
    </row>
    <row r="885" spans="8:8" ht="13" hidden="1">
      <c r="H885" s="226"/>
    </row>
    <row r="886" spans="8:8" ht="13" hidden="1">
      <c r="H886" s="226"/>
    </row>
    <row r="887" spans="8:8" ht="13" hidden="1">
      <c r="H887" s="226"/>
    </row>
    <row r="888" spans="8:8" ht="13" hidden="1">
      <c r="H888" s="226"/>
    </row>
    <row r="889" spans="8:8" ht="13" hidden="1">
      <c r="H889" s="226"/>
    </row>
    <row r="890" spans="8:8" ht="13" hidden="1">
      <c r="H890" s="226"/>
    </row>
    <row r="891" spans="8:8" ht="13" hidden="1">
      <c r="H891" s="226"/>
    </row>
    <row r="892" spans="8:8" ht="13" hidden="1">
      <c r="H892" s="226"/>
    </row>
    <row r="893" spans="8:8" ht="13" hidden="1">
      <c r="H893" s="226"/>
    </row>
    <row r="894" spans="8:8" ht="13" hidden="1">
      <c r="H894" s="226"/>
    </row>
    <row r="895" spans="8:8" ht="13" hidden="1">
      <c r="H895" s="226"/>
    </row>
    <row r="896" spans="8:8" ht="13" hidden="1">
      <c r="H896" s="226"/>
    </row>
    <row r="897" spans="8:8" ht="13" hidden="1">
      <c r="H897" s="226"/>
    </row>
    <row r="898" spans="8:8" ht="13" hidden="1">
      <c r="H898" s="226"/>
    </row>
    <row r="899" spans="8:8" ht="13" hidden="1">
      <c r="H899" s="226"/>
    </row>
    <row r="900" spans="8:8" ht="13" hidden="1">
      <c r="H900" s="226"/>
    </row>
    <row r="901" spans="8:8" ht="13" hidden="1">
      <c r="H901" s="226"/>
    </row>
    <row r="902" spans="8:8" ht="13" hidden="1">
      <c r="H902" s="226"/>
    </row>
    <row r="903" spans="8:8" ht="13" hidden="1">
      <c r="H903" s="226"/>
    </row>
    <row r="904" spans="8:8" ht="13" hidden="1">
      <c r="H904" s="226"/>
    </row>
    <row r="905" spans="8:8" ht="13" hidden="1">
      <c r="H905" s="226"/>
    </row>
    <row r="906" spans="8:8" ht="13" hidden="1">
      <c r="H906" s="226"/>
    </row>
    <row r="907" spans="8:8" ht="13" hidden="1">
      <c r="H907" s="226"/>
    </row>
    <row r="908" spans="8:8" ht="13" hidden="1">
      <c r="H908" s="226"/>
    </row>
    <row r="909" spans="8:8" ht="13" hidden="1">
      <c r="H909" s="226"/>
    </row>
    <row r="910" spans="8:8" ht="13" hidden="1">
      <c r="H910" s="226"/>
    </row>
    <row r="911" spans="8:8" ht="13" hidden="1">
      <c r="H911" s="226"/>
    </row>
    <row r="912" spans="8:8" ht="13" hidden="1">
      <c r="H912" s="226"/>
    </row>
    <row r="913" spans="8:8" ht="13" hidden="1">
      <c r="H913" s="226"/>
    </row>
    <row r="914" spans="8:8" ht="13" hidden="1">
      <c r="H914" s="226"/>
    </row>
    <row r="915" spans="8:8" ht="13" hidden="1">
      <c r="H915" s="226"/>
    </row>
    <row r="916" spans="8:8" ht="13" hidden="1">
      <c r="H916" s="226"/>
    </row>
    <row r="917" spans="8:8" ht="13" hidden="1">
      <c r="H917" s="226"/>
    </row>
    <row r="918" spans="8:8" ht="13" hidden="1">
      <c r="H918" s="226"/>
    </row>
    <row r="919" spans="8:8" ht="13" hidden="1">
      <c r="H919" s="226"/>
    </row>
    <row r="920" spans="8:8" ht="13" hidden="1">
      <c r="H920" s="226"/>
    </row>
    <row r="921" spans="8:8" ht="13" hidden="1">
      <c r="H921" s="226"/>
    </row>
    <row r="922" spans="8:8" ht="13" hidden="1">
      <c r="H922" s="226"/>
    </row>
    <row r="923" spans="8:8" ht="13" hidden="1">
      <c r="H923" s="226"/>
    </row>
    <row r="924" spans="8:8" ht="13" hidden="1">
      <c r="H924" s="226"/>
    </row>
    <row r="925" spans="8:8" ht="13" hidden="1">
      <c r="H925" s="226"/>
    </row>
    <row r="926" spans="8:8" ht="13" hidden="1">
      <c r="H926" s="226"/>
    </row>
    <row r="927" spans="8:8" ht="13" hidden="1">
      <c r="H927" s="226"/>
    </row>
    <row r="928" spans="8:8" ht="13" hidden="1">
      <c r="H928" s="226"/>
    </row>
    <row r="929" spans="8:8" ht="13" hidden="1">
      <c r="H929" s="226"/>
    </row>
    <row r="930" spans="8:8" ht="13" hidden="1">
      <c r="H930" s="226"/>
    </row>
    <row r="931" spans="8:8" ht="13" hidden="1">
      <c r="H931" s="226"/>
    </row>
    <row r="932" spans="8:8" ht="13" hidden="1">
      <c r="H932" s="226"/>
    </row>
    <row r="933" spans="8:8" ht="13" hidden="1">
      <c r="H933" s="226"/>
    </row>
    <row r="934" spans="8:8" ht="13" hidden="1">
      <c r="H934" s="226"/>
    </row>
    <row r="935" spans="8:8" ht="13" hidden="1">
      <c r="H935" s="226"/>
    </row>
    <row r="936" spans="8:8" ht="13" hidden="1">
      <c r="H936" s="226"/>
    </row>
    <row r="937" spans="8:8" ht="13" hidden="1">
      <c r="H937" s="226"/>
    </row>
    <row r="938" spans="8:8" ht="13" hidden="1">
      <c r="H938" s="226"/>
    </row>
    <row r="939" spans="8:8" ht="13" hidden="1">
      <c r="H939" s="226"/>
    </row>
    <row r="940" spans="8:8" ht="13" hidden="1">
      <c r="H940" s="226"/>
    </row>
    <row r="941" spans="8:8" ht="13" hidden="1">
      <c r="H941" s="226"/>
    </row>
    <row r="942" spans="8:8" ht="13" hidden="1">
      <c r="H942" s="226"/>
    </row>
    <row r="943" spans="8:8" ht="13" hidden="1">
      <c r="H943" s="226"/>
    </row>
    <row r="944" spans="8:8" ht="13" hidden="1">
      <c r="H944" s="226"/>
    </row>
    <row r="945" spans="8:8" ht="13" hidden="1">
      <c r="H945" s="226"/>
    </row>
    <row r="946" spans="8:8" ht="13" hidden="1">
      <c r="H946" s="226"/>
    </row>
    <row r="947" spans="8:8" ht="13" hidden="1">
      <c r="H947" s="226"/>
    </row>
    <row r="948" spans="8:8" ht="13" hidden="1">
      <c r="H948" s="226"/>
    </row>
    <row r="949" spans="8:8" ht="13" hidden="1">
      <c r="H949" s="226"/>
    </row>
    <row r="950" spans="8:8" ht="13" hidden="1">
      <c r="H950" s="226"/>
    </row>
    <row r="951" spans="8:8" ht="13" hidden="1">
      <c r="H951" s="226"/>
    </row>
    <row r="952" spans="8:8" ht="13" hidden="1">
      <c r="H952" s="226"/>
    </row>
    <row r="953" spans="8:8" ht="13" hidden="1">
      <c r="H953" s="226"/>
    </row>
    <row r="954" spans="8:8" ht="13" hidden="1">
      <c r="H954" s="226"/>
    </row>
    <row r="955" spans="8:8" ht="13" hidden="1">
      <c r="H955" s="226"/>
    </row>
    <row r="956" spans="8:8" ht="13" hidden="1">
      <c r="H956" s="226"/>
    </row>
    <row r="957" spans="8:8" ht="13" hidden="1">
      <c r="H957" s="226"/>
    </row>
    <row r="958" spans="8:8" ht="13" hidden="1">
      <c r="H958" s="226"/>
    </row>
    <row r="959" spans="8:8" ht="13" hidden="1">
      <c r="H959" s="226"/>
    </row>
    <row r="960" spans="8:8" ht="13" hidden="1">
      <c r="H960" s="226"/>
    </row>
    <row r="961" spans="8:8" ht="13" hidden="1">
      <c r="H961" s="226"/>
    </row>
    <row r="962" spans="8:8" ht="13" hidden="1">
      <c r="H962" s="226"/>
    </row>
    <row r="963" spans="8:8" ht="13" hidden="1">
      <c r="H963" s="226"/>
    </row>
    <row r="964" spans="8:8" ht="13" hidden="1">
      <c r="H964" s="226"/>
    </row>
    <row r="965" spans="8:8" ht="13" hidden="1">
      <c r="H965" s="226"/>
    </row>
    <row r="966" spans="8:8" ht="13" hidden="1">
      <c r="H966" s="226"/>
    </row>
    <row r="967" spans="8:8" ht="13" hidden="1">
      <c r="H967" s="226"/>
    </row>
    <row r="968" spans="8:8" ht="13" hidden="1">
      <c r="H968" s="226"/>
    </row>
    <row r="969" spans="8:8" ht="13" hidden="1">
      <c r="H969" s="226"/>
    </row>
    <row r="970" spans="8:8" ht="13" hidden="1">
      <c r="H970" s="226"/>
    </row>
    <row r="971" spans="8:8" ht="13" hidden="1">
      <c r="H971" s="226"/>
    </row>
    <row r="972" spans="8:8" ht="13" hidden="1">
      <c r="H972" s="226"/>
    </row>
    <row r="973" spans="8:8" ht="13" hidden="1">
      <c r="H973" s="226"/>
    </row>
    <row r="974" spans="8:8" ht="13" hidden="1">
      <c r="H974" s="226"/>
    </row>
    <row r="975" spans="8:8" ht="13" hidden="1">
      <c r="H975" s="226"/>
    </row>
    <row r="976" spans="8:8" ht="13" hidden="1">
      <c r="H976" s="226"/>
    </row>
    <row r="977" spans="8:8" ht="13" hidden="1">
      <c r="H977" s="226"/>
    </row>
    <row r="978" spans="8:8" ht="13" hidden="1">
      <c r="H978" s="226"/>
    </row>
    <row r="979" spans="8:8" ht="13" hidden="1">
      <c r="H979" s="226"/>
    </row>
    <row r="980" spans="8:8" ht="13" hidden="1">
      <c r="H980" s="226"/>
    </row>
    <row r="981" spans="8:8" ht="13" hidden="1">
      <c r="H981" s="226"/>
    </row>
    <row r="982" spans="8:8" ht="13" hidden="1">
      <c r="H982" s="226"/>
    </row>
    <row r="983" spans="8:8" ht="13" hidden="1">
      <c r="H983" s="226"/>
    </row>
    <row r="984" spans="8:8" ht="13" hidden="1">
      <c r="H984" s="226"/>
    </row>
    <row r="985" spans="8:8" ht="13" hidden="1">
      <c r="H985" s="226"/>
    </row>
    <row r="986" spans="8:8" ht="13" hidden="1">
      <c r="H986" s="226"/>
    </row>
    <row r="987" spans="8:8" ht="13" hidden="1">
      <c r="H987" s="226"/>
    </row>
    <row r="988" spans="8:8" ht="13" hidden="1">
      <c r="H988" s="226"/>
    </row>
    <row r="989" spans="8:8" ht="13" hidden="1">
      <c r="H989" s="226"/>
    </row>
    <row r="990" spans="8:8" ht="13" hidden="1">
      <c r="H990" s="226"/>
    </row>
    <row r="991" spans="8:8" ht="13" hidden="1">
      <c r="H991" s="226"/>
    </row>
    <row r="992" spans="8:8" ht="13" hidden="1">
      <c r="H992" s="226"/>
    </row>
    <row r="993" spans="8:8" ht="13" hidden="1">
      <c r="H993" s="226"/>
    </row>
    <row r="994" spans="8:8" ht="13" hidden="1">
      <c r="H994" s="226"/>
    </row>
    <row r="995" spans="8:8" ht="13" hidden="1">
      <c r="H995" s="226"/>
    </row>
    <row r="996" spans="8:8" ht="13" hidden="1">
      <c r="H996" s="226"/>
    </row>
    <row r="997" spans="8:8" ht="13" hidden="1">
      <c r="H997" s="226"/>
    </row>
    <row r="998" spans="8:8" ht="13" hidden="1">
      <c r="H998" s="226"/>
    </row>
    <row r="999" spans="8:8" ht="13" hidden="1">
      <c r="H999" s="226"/>
    </row>
    <row r="1000" spans="8:8" ht="13" hidden="1">
      <c r="H1000" s="226"/>
    </row>
    <row r="1001" spans="8:8" ht="13" hidden="1">
      <c r="H1001" s="226"/>
    </row>
    <row r="1002" spans="8:8" ht="13" hidden="1">
      <c r="H1002" s="226"/>
    </row>
    <row r="1003" spans="8:8" ht="13" hidden="1">
      <c r="H1003" s="226"/>
    </row>
    <row r="1004" spans="8:8" ht="13" hidden="1">
      <c r="H1004" s="226"/>
    </row>
    <row r="1005" spans="8:8" ht="13" hidden="1">
      <c r="H1005" s="226"/>
    </row>
    <row r="1006" spans="8:8" ht="13" hidden="1">
      <c r="H1006" s="226"/>
    </row>
    <row r="1007" spans="8:8" ht="13" hidden="1">
      <c r="H1007" s="226"/>
    </row>
    <row r="1008" spans="8:8" ht="13" hidden="1">
      <c r="H1008" s="226"/>
    </row>
    <row r="1009" spans="8:8" ht="13" hidden="1">
      <c r="H1009" s="226"/>
    </row>
    <row r="1010" spans="8:8" ht="13" hidden="1">
      <c r="H1010" s="226"/>
    </row>
    <row r="1011" spans="8:8" ht="13" hidden="1">
      <c r="H1011" s="226"/>
    </row>
    <row r="1012" spans="8:8" ht="13" hidden="1">
      <c r="H1012" s="226"/>
    </row>
    <row r="1013" spans="8:8" ht="13" hidden="1">
      <c r="H1013" s="226"/>
    </row>
    <row r="1014" spans="8:8" ht="13" hidden="1">
      <c r="H1014" s="226"/>
    </row>
    <row r="1015" spans="8:8" ht="13" hidden="1">
      <c r="H1015" s="226"/>
    </row>
    <row r="1016" spans="8:8" ht="13" hidden="1">
      <c r="H1016" s="226"/>
    </row>
    <row r="1017" spans="8:8" ht="13" hidden="1">
      <c r="H1017" s="226"/>
    </row>
    <row r="1018" spans="8:8" ht="13" hidden="1">
      <c r="H1018" s="226"/>
    </row>
    <row r="1019" spans="8:8" ht="13" hidden="1">
      <c r="H1019" s="226"/>
    </row>
    <row r="1020" spans="8:8" ht="13" hidden="1">
      <c r="H1020" s="226"/>
    </row>
    <row r="1021" spans="8:8" ht="13" hidden="1">
      <c r="H1021" s="226"/>
    </row>
    <row r="1022" spans="8:8" ht="13" hidden="1">
      <c r="H1022" s="226"/>
    </row>
    <row r="1023" spans="8:8" ht="13" hidden="1">
      <c r="H1023" s="226"/>
    </row>
    <row r="1024" spans="8:8" ht="13" hidden="1">
      <c r="H1024" s="226"/>
    </row>
    <row r="1025" spans="8:8" ht="13" hidden="1">
      <c r="H1025" s="226"/>
    </row>
    <row r="1026" spans="8:8" ht="13" hidden="1">
      <c r="H1026" s="226"/>
    </row>
    <row r="1027" spans="8:8" ht="13" hidden="1">
      <c r="H1027" s="226"/>
    </row>
    <row r="1028" spans="8:8" ht="13" hidden="1">
      <c r="H1028" s="226"/>
    </row>
    <row r="1029" spans="8:8" ht="13" hidden="1">
      <c r="H1029" s="226"/>
    </row>
    <row r="1030" spans="8:8" ht="13" hidden="1">
      <c r="H1030" s="226"/>
    </row>
    <row r="1031" spans="8:8" ht="13" hidden="1">
      <c r="H1031" s="226"/>
    </row>
    <row r="1032" spans="8:8" ht="13" hidden="1">
      <c r="H1032" s="226"/>
    </row>
    <row r="1033" spans="8:8" ht="13" hidden="1">
      <c r="H1033" s="226"/>
    </row>
    <row r="1034" spans="8:8" ht="13" hidden="1">
      <c r="H1034" s="226"/>
    </row>
    <row r="1035" spans="8:8" ht="13" hidden="1">
      <c r="H1035" s="226"/>
    </row>
    <row r="1036" spans="8:8" ht="13" hidden="1">
      <c r="H1036" s="226"/>
    </row>
    <row r="1037" spans="8:8" ht="13" hidden="1">
      <c r="H1037" s="226"/>
    </row>
    <row r="1038" spans="8:8" ht="13" hidden="1">
      <c r="H1038" s="226"/>
    </row>
    <row r="1039" spans="8:8" ht="13" hidden="1">
      <c r="H1039" s="226"/>
    </row>
    <row r="1040" spans="8:8" ht="13" hidden="1">
      <c r="H1040" s="226"/>
    </row>
    <row r="1041" spans="8:8" ht="13" hidden="1">
      <c r="H1041" s="226"/>
    </row>
    <row r="1042" spans="8:8" ht="13" hidden="1">
      <c r="H1042" s="226"/>
    </row>
    <row r="1043" spans="8:8" ht="13" hidden="1">
      <c r="H1043" s="226"/>
    </row>
    <row r="1044" spans="8:8" ht="13" hidden="1">
      <c r="H1044" s="226"/>
    </row>
    <row r="1045" spans="8:8" ht="13" hidden="1">
      <c r="H1045" s="226"/>
    </row>
    <row r="1046" spans="8:8" ht="13" hidden="1">
      <c r="H1046" s="226"/>
    </row>
    <row r="1047" spans="8:8" ht="13" hidden="1">
      <c r="H1047" s="226"/>
    </row>
    <row r="1048" spans="8:8" ht="13" hidden="1">
      <c r="H1048" s="226"/>
    </row>
    <row r="1049" spans="8:8" ht="13" hidden="1">
      <c r="H1049" s="226"/>
    </row>
    <row r="1050" spans="8:8" ht="13" hidden="1">
      <c r="H1050" s="226"/>
    </row>
    <row r="1051" spans="8:8" ht="13" hidden="1">
      <c r="H1051" s="226"/>
    </row>
    <row r="1052" spans="8:8" ht="13" hidden="1">
      <c r="H1052" s="226"/>
    </row>
    <row r="1053" spans="8:8" ht="13" hidden="1">
      <c r="H1053" s="226"/>
    </row>
    <row r="1054" spans="8:8" ht="13" hidden="1">
      <c r="H1054" s="226"/>
    </row>
    <row r="1055" spans="8:8" ht="13" hidden="1">
      <c r="H1055" s="226"/>
    </row>
    <row r="1056" spans="8:8" ht="13" hidden="1">
      <c r="H1056" s="226"/>
    </row>
    <row r="1057" spans="8:8" ht="13" hidden="1">
      <c r="H1057" s="226"/>
    </row>
    <row r="1058" spans="8:8" ht="13" hidden="1">
      <c r="H1058" s="226"/>
    </row>
    <row r="1059" spans="8:8" ht="13" hidden="1">
      <c r="H1059" s="226"/>
    </row>
    <row r="1060" spans="8:8" ht="13" hidden="1">
      <c r="H1060" s="226"/>
    </row>
    <row r="1061" spans="8:8" ht="13" hidden="1">
      <c r="H1061" s="226"/>
    </row>
    <row r="1062" spans="8:8" ht="13" hidden="1">
      <c r="H1062" s="226"/>
    </row>
    <row r="1063" spans="8:8" ht="13" hidden="1">
      <c r="H1063" s="226"/>
    </row>
  </sheetData>
  <autoFilter ref="J1:J1063" xr:uid="{00000000-0009-0000-0000-000006000000}">
    <filterColumn colId="0">
      <customFilters>
        <customFilter operator="lessThan" val="1000"/>
      </customFilters>
    </filterColumn>
  </autoFilter>
  <conditionalFormatting sqref="B1 B3:B1063">
    <cfRule type="cellIs" dxfId="316" priority="1" operator="between">
      <formula>50</formula>
      <formula>200</formula>
    </cfRule>
  </conditionalFormatting>
  <conditionalFormatting sqref="B1 B3:B1063">
    <cfRule type="cellIs" dxfId="315" priority="2" operator="between">
      <formula>201</formula>
      <formula>400</formula>
    </cfRule>
  </conditionalFormatting>
  <conditionalFormatting sqref="B3:B1058">
    <cfRule type="cellIs" dxfId="314" priority="3" operator="between">
      <formula>401</formula>
      <formula>650</formula>
    </cfRule>
  </conditionalFormatting>
  <conditionalFormatting sqref="B3:B1058">
    <cfRule type="cellIs" dxfId="313" priority="4" operator="between">
      <formula>651</formula>
      <formula>900</formula>
    </cfRule>
  </conditionalFormatting>
  <conditionalFormatting sqref="B3:B1058">
    <cfRule type="cellIs" dxfId="312" priority="5" operator="greaterThan">
      <formula>900</formula>
    </cfRule>
  </conditionalFormatting>
  <conditionalFormatting sqref="P3:P1058">
    <cfRule type="containsText" dxfId="311" priority="6" operator="containsText" text="yes">
      <formula>NOT(ISERROR(SEARCH(("yes"),(P3))))</formula>
    </cfRule>
  </conditionalFormatting>
  <conditionalFormatting sqref="F1:F1063">
    <cfRule type="colorScale" priority="7">
      <colorScale>
        <cfvo type="min"/>
        <cfvo type="formula" val="150"/>
        <color rgb="FFEAD1DC"/>
        <color rgb="FFA64D79"/>
      </colorScale>
    </cfRule>
  </conditionalFormatting>
  <conditionalFormatting sqref="D3:D82">
    <cfRule type="colorScale" priority="8">
      <colorScale>
        <cfvo type="formula" val="1.2"/>
        <cfvo type="formula" val="4"/>
        <color rgb="FF0B5394"/>
        <color rgb="FFFFFFFF"/>
      </colorScale>
    </cfRule>
  </conditionalFormatting>
  <conditionalFormatting sqref="E3:E82">
    <cfRule type="colorScale" priority="9">
      <colorScale>
        <cfvo type="formula" val="65"/>
        <cfvo type="formula" val="100"/>
        <color rgb="FFD9D2E9"/>
        <color rgb="FF674EA7"/>
      </colorScale>
    </cfRule>
  </conditionalFormatting>
  <conditionalFormatting sqref="D3:D82">
    <cfRule type="containsText" dxfId="310" priority="10" operator="containsText" text="1.2">
      <formula>NOT(ISERROR(SEARCH(("1.2"),(D3))))</formula>
    </cfRule>
  </conditionalFormatting>
  <conditionalFormatting sqref="D12">
    <cfRule type="notContainsBlanks" dxfId="309" priority="11">
      <formula>LEN(TRIM(D12))&gt;0</formula>
    </cfRule>
  </conditionalFormatting>
  <conditionalFormatting sqref="D3:D82">
    <cfRule type="containsText" dxfId="308" priority="12" operator="containsText" text="1.4">
      <formula>NOT(ISERROR(SEARCH(("1.4"),(D3))))</formula>
    </cfRule>
  </conditionalFormatting>
  <conditionalFormatting sqref="D3:D101">
    <cfRule type="containsText" dxfId="307" priority="13" operator="containsText" text="1.8">
      <formula>NOT(ISERROR(SEARCH(("1.8"),(D3))))</formula>
    </cfRule>
  </conditionalFormatting>
  <conditionalFormatting sqref="A3:A100">
    <cfRule type="expression" dxfId="306" priority="14">
      <formula>(TODAY()-T3)&lt;0</formula>
    </cfRule>
  </conditionalFormatting>
  <conditionalFormatting sqref="A3:A100">
    <cfRule type="expression" dxfId="305" priority="15">
      <formula>(TODAY()-T3)&lt;180</formula>
    </cfRule>
  </conditionalFormatting>
  <conditionalFormatting sqref="G3:G102">
    <cfRule type="cellIs" dxfId="304" priority="16" operator="equal">
      <formula>"MF"</formula>
    </cfRule>
  </conditionalFormatting>
  <conditionalFormatting sqref="I3:I102">
    <cfRule type="cellIs" dxfId="303" priority="17" operator="between">
      <formula>0.24</formula>
      <formula>0.45</formula>
    </cfRule>
  </conditionalFormatting>
  <conditionalFormatting sqref="I3:I102">
    <cfRule type="cellIs" dxfId="302" priority="18" operator="between">
      <formula>0.45</formula>
      <formula>0.99</formula>
    </cfRule>
  </conditionalFormatting>
  <conditionalFormatting sqref="I3:I102">
    <cfRule type="cellIs" dxfId="301" priority="19" operator="greaterThan">
      <formula>0.99</formula>
    </cfRule>
  </conditionalFormatting>
  <dataValidations count="1">
    <dataValidation type="list" allowBlank="1" sqref="S3:S82" xr:uid="{00000000-0002-0000-0600-000000000000}">
      <formula1>"Sony,Voigtlander,Zeiss,Sigma,Samyang,Viltrox,Tokina,Tamron"</formula1>
    </dataValidation>
  </dataValidations>
  <hyperlinks>
    <hyperlink ref="K1" r:id="rId1" xr:uid="{00000000-0004-0000-0600-000000000000}"/>
    <hyperlink ref="M1" r:id="rId2" xr:uid="{00000000-0004-0000-0600-000001000000}"/>
    <hyperlink ref="N1"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outlinePr summaryBelow="0" summaryRight="0"/>
  </sheetPr>
  <dimension ref="A1:U105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6.83203125" customWidth="1"/>
    <col min="2" max="2" width="6.5" customWidth="1"/>
    <col min="3" max="3" width="11" customWidth="1"/>
    <col min="4" max="4" width="8" customWidth="1"/>
    <col min="5" max="6" width="7.33203125" customWidth="1"/>
    <col min="7" max="7" width="4" customWidth="1"/>
    <col min="8" max="8" width="7.1640625" customWidth="1"/>
    <col min="9" max="9" width="4.5" customWidth="1"/>
    <col min="10" max="10" width="7.6640625" customWidth="1"/>
    <col min="11" max="14" width="4" customWidth="1"/>
    <col min="15" max="15" width="7.5" customWidth="1"/>
    <col min="16" max="16" width="5.5" customWidth="1"/>
    <col min="17" max="17" width="5" customWidth="1"/>
    <col min="18" max="18" width="6.1640625" customWidth="1"/>
    <col min="19" max="19" width="13.33203125" customWidth="1"/>
    <col min="20" max="20" width="5.83203125" customWidth="1"/>
  </cols>
  <sheetData>
    <row r="1" spans="1:21" ht="76.5" customHeight="1">
      <c r="A1" s="330" t="s">
        <v>0</v>
      </c>
      <c r="B1" s="3" t="s">
        <v>1</v>
      </c>
      <c r="C1" s="3" t="s">
        <v>223</v>
      </c>
      <c r="D1" s="4" t="s">
        <v>3</v>
      </c>
      <c r="E1" s="5" t="s">
        <v>4</v>
      </c>
      <c r="F1" s="6" t="s">
        <v>5</v>
      </c>
      <c r="G1" s="7" t="s">
        <v>6</v>
      </c>
      <c r="H1" s="8" t="s">
        <v>7</v>
      </c>
      <c r="I1" s="3" t="s">
        <v>8</v>
      </c>
      <c r="J1" s="9" t="s">
        <v>17</v>
      </c>
      <c r="K1" s="10" t="s">
        <v>18</v>
      </c>
      <c r="L1" s="11" t="s">
        <v>19</v>
      </c>
      <c r="M1" s="10" t="s">
        <v>20</v>
      </c>
      <c r="N1" s="12" t="s">
        <v>21</v>
      </c>
      <c r="O1" s="3" t="s">
        <v>10</v>
      </c>
      <c r="P1" s="5" t="s">
        <v>11</v>
      </c>
      <c r="Q1" s="3" t="s">
        <v>12</v>
      </c>
      <c r="R1" s="3" t="s">
        <v>13</v>
      </c>
      <c r="S1" s="3" t="s">
        <v>14</v>
      </c>
      <c r="T1" s="3" t="s">
        <v>15</v>
      </c>
      <c r="U1" s="13" t="s">
        <v>225</v>
      </c>
    </row>
    <row r="2" spans="1:21" ht="18" hidden="1" customHeight="1">
      <c r="A2" s="14" t="s">
        <v>23</v>
      </c>
      <c r="B2" s="15"/>
      <c r="C2" s="15"/>
      <c r="D2" s="15"/>
      <c r="E2" s="15"/>
      <c r="F2" s="15"/>
      <c r="G2" s="16"/>
      <c r="H2" s="17"/>
      <c r="I2" s="15"/>
      <c r="J2" s="15"/>
      <c r="K2" s="15"/>
      <c r="L2" s="15"/>
      <c r="M2" s="15"/>
      <c r="N2" s="15"/>
      <c r="O2" s="15"/>
      <c r="P2" s="16"/>
      <c r="Q2" s="15"/>
      <c r="R2" s="16"/>
      <c r="S2" s="18"/>
      <c r="T2" s="16"/>
    </row>
    <row r="3" spans="1:21" ht="13" hidden="1">
      <c r="A3" s="198" t="str">
        <f t="array" ref="A3:A4">All!A3:M36</f>
        <v>Zuiko Fisheye 8mm f2.8</v>
      </c>
      <c r="B3" s="60"/>
      <c r="C3" s="74"/>
      <c r="D3" s="64"/>
      <c r="E3" s="245"/>
      <c r="F3" s="322"/>
      <c r="G3" s="119"/>
      <c r="H3" s="72"/>
      <c r="I3" s="74"/>
      <c r="J3" s="74"/>
      <c r="K3" s="121"/>
      <c r="L3" s="121"/>
      <c r="M3" s="121"/>
      <c r="N3" s="121"/>
      <c r="O3" s="74"/>
      <c r="P3" s="70"/>
      <c r="Q3" s="74"/>
      <c r="R3" s="86"/>
      <c r="S3" s="74"/>
      <c r="T3" s="74"/>
    </row>
    <row r="4" spans="1:21" ht="13" hidden="1">
      <c r="A4" s="126" t="str">
        <v>Zuiko Full Frame Fisheye 16mm f2.5</v>
      </c>
      <c r="B4" s="60">
        <v>375</v>
      </c>
      <c r="C4" s="67">
        <v>10</v>
      </c>
      <c r="D4" s="64">
        <v>5.6</v>
      </c>
      <c r="E4" s="245">
        <v>67</v>
      </c>
      <c r="F4" s="246" t="s">
        <v>24</v>
      </c>
      <c r="G4" s="247" t="s">
        <v>25</v>
      </c>
      <c r="H4" s="72" t="s">
        <v>26</v>
      </c>
      <c r="I4" s="74">
        <v>6.7000000000000004E-2</v>
      </c>
      <c r="J4" s="76">
        <v>1099</v>
      </c>
      <c r="K4" s="121" t="str">
        <f>HYPERLINK("https://amzn.to/2jJ8WxH","link*")</f>
        <v>link*</v>
      </c>
      <c r="L4" s="121" t="str">
        <f>HYPERLINK("https://www.bhphotovideo.com/c/product/1219550-REG/voigtlander_ba334b_heliar_hyper_wide_10mm_f_5_6.html/BI/19619/KBID/12129/DFF/d10-v21-t1-x732282/SID/EZ","link*")</f>
        <v>link*</v>
      </c>
      <c r="M4" s="121" t="str">
        <f>HYPERLINK("https://amzn.to/2jG72hr","link*")</f>
        <v>link*</v>
      </c>
      <c r="N4" s="121"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O4" s="84">
        <v>30</v>
      </c>
      <c r="P4" s="70" t="s">
        <v>27</v>
      </c>
      <c r="Q4" s="74">
        <v>10</v>
      </c>
      <c r="R4" s="86" t="s">
        <v>28</v>
      </c>
      <c r="S4" s="74" t="s">
        <v>29</v>
      </c>
      <c r="T4" s="88">
        <v>42552</v>
      </c>
      <c r="U4" s="77" t="s">
        <v>34</v>
      </c>
    </row>
    <row r="5" spans="1:21" ht="13" hidden="1">
      <c r="A5" s="198"/>
      <c r="B5" s="60"/>
      <c r="C5" s="74"/>
      <c r="D5" s="64"/>
      <c r="E5" s="248"/>
      <c r="F5" s="324"/>
      <c r="G5" s="325"/>
      <c r="H5" s="72"/>
      <c r="I5" s="74"/>
      <c r="J5" s="74"/>
      <c r="K5" s="113"/>
      <c r="L5" s="113"/>
      <c r="M5" s="113"/>
      <c r="N5" s="113"/>
      <c r="O5" s="74"/>
      <c r="P5" s="70"/>
      <c r="Q5" s="74"/>
      <c r="R5" s="86"/>
      <c r="S5" s="74"/>
      <c r="T5" s="74"/>
    </row>
    <row r="6" spans="1:21" ht="13" hidden="1">
      <c r="A6" s="323"/>
      <c r="B6" s="60"/>
      <c r="C6" s="74"/>
      <c r="D6" s="100"/>
      <c r="E6" s="101"/>
      <c r="F6" s="118"/>
      <c r="G6" s="74"/>
      <c r="H6" s="72"/>
      <c r="I6" s="74"/>
      <c r="J6" s="74"/>
      <c r="K6" s="113"/>
      <c r="L6" s="113"/>
      <c r="M6" s="113"/>
      <c r="N6" s="113"/>
      <c r="O6" s="74"/>
      <c r="P6" s="70"/>
      <c r="Q6" s="74"/>
      <c r="R6" s="112"/>
      <c r="S6" s="74"/>
      <c r="T6" s="125"/>
    </row>
    <row r="7" spans="1:21" ht="13" hidden="1">
      <c r="A7" s="326"/>
      <c r="B7" s="60"/>
      <c r="C7" s="74"/>
      <c r="D7" s="64"/>
      <c r="E7" s="65"/>
      <c r="F7" s="118"/>
      <c r="G7" s="74"/>
      <c r="H7" s="72"/>
      <c r="I7" s="74"/>
      <c r="J7" s="74"/>
      <c r="K7" s="113"/>
      <c r="L7" s="113"/>
      <c r="M7" s="113"/>
      <c r="N7" s="113"/>
      <c r="O7" s="74"/>
      <c r="P7" s="70"/>
      <c r="Q7" s="74"/>
      <c r="R7" s="115"/>
      <c r="S7" s="74"/>
      <c r="T7" s="74"/>
    </row>
    <row r="8" spans="1:21" ht="13" hidden="1">
      <c r="A8" s="323"/>
      <c r="B8" s="60"/>
      <c r="C8" s="74"/>
      <c r="D8" s="64"/>
      <c r="E8" s="65"/>
      <c r="F8" s="65"/>
      <c r="G8" s="74"/>
      <c r="H8" s="72"/>
      <c r="I8" s="74"/>
      <c r="J8" s="74"/>
      <c r="K8" s="113"/>
      <c r="L8" s="113"/>
      <c r="M8" s="113"/>
      <c r="N8" s="113"/>
      <c r="O8" s="74"/>
      <c r="P8" s="70"/>
      <c r="Q8" s="74"/>
      <c r="R8" s="112"/>
      <c r="S8" s="74"/>
      <c r="T8" s="125"/>
    </row>
    <row r="9" spans="1:21" ht="13" hidden="1">
      <c r="A9" s="198"/>
      <c r="B9" s="60"/>
      <c r="C9" s="74"/>
      <c r="D9" s="64"/>
      <c r="E9" s="248"/>
      <c r="F9" s="324"/>
      <c r="G9" s="325"/>
      <c r="H9" s="72"/>
      <c r="I9" s="74"/>
      <c r="J9" s="74"/>
      <c r="K9" s="113"/>
      <c r="L9" s="113"/>
      <c r="M9" s="113"/>
      <c r="N9" s="113"/>
      <c r="O9" s="74"/>
      <c r="P9" s="70"/>
      <c r="Q9" s="74"/>
      <c r="R9" s="136"/>
      <c r="S9" s="74"/>
      <c r="T9" s="74"/>
    </row>
    <row r="10" spans="1:21" ht="13">
      <c r="A10" s="58" t="s">
        <v>35</v>
      </c>
      <c r="B10" s="60">
        <v>565</v>
      </c>
      <c r="C10" s="67">
        <v>12</v>
      </c>
      <c r="D10" s="64">
        <v>4</v>
      </c>
      <c r="E10" s="65">
        <v>87</v>
      </c>
      <c r="F10" s="67">
        <v>117</v>
      </c>
      <c r="G10" s="70" t="s">
        <v>36</v>
      </c>
      <c r="H10" s="72" t="s">
        <v>26</v>
      </c>
      <c r="I10" s="74">
        <v>0.14000000000000001</v>
      </c>
      <c r="J10" s="76">
        <v>1699</v>
      </c>
      <c r="K10" s="121" t="str">
        <f>HYPERLINK("https://amzn.to/2SSzKc4","link*")</f>
        <v>link*</v>
      </c>
      <c r="L10" s="121" t="str">
        <f>HYPERLINK("https://www.bhphotovideo.com/c/product/1338517-REG/sony_sel1224g_fe_12_24mm_f_4_g.html/BI/19619/KBID/12129/DFF/d10-v21-t1-x822838/SID/EZ","link*")</f>
        <v>link*</v>
      </c>
      <c r="M10" s="121" t="str">
        <f>HYPERLINK("https://amzn.to/2Kg94zb","link*")</f>
        <v>link*</v>
      </c>
      <c r="N10" s="121"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10" s="84">
        <v>24</v>
      </c>
      <c r="P10" s="70" t="s">
        <v>27</v>
      </c>
      <c r="Q10" s="74">
        <v>7</v>
      </c>
      <c r="R10" s="86" t="s">
        <v>40</v>
      </c>
      <c r="S10" s="74" t="s">
        <v>41</v>
      </c>
      <c r="T10" s="88">
        <v>42856</v>
      </c>
    </row>
    <row r="11" spans="1:21" ht="13" hidden="1">
      <c r="A11" s="163" t="str">
        <f>HYPERLINK("https://phillipreeve.net/blog/review-voigtlander-12mm-5-6-aspherical-ultra-wide-heliar/","Voigtlander 12mm F5.6 Ultra Wide-Heliar Aspherical")</f>
        <v>Voigtlander 12mm F5.6 Ultra Wide-Heliar Aspherical</v>
      </c>
      <c r="B11" s="60">
        <v>350</v>
      </c>
      <c r="C11" s="67">
        <v>12</v>
      </c>
      <c r="D11" s="64">
        <v>5.6</v>
      </c>
      <c r="E11" s="248">
        <v>67</v>
      </c>
      <c r="F11" s="246">
        <v>68</v>
      </c>
      <c r="G11" s="70" t="s">
        <v>25</v>
      </c>
      <c r="H11" s="72" t="s">
        <v>26</v>
      </c>
      <c r="I11" s="74"/>
      <c r="J11" s="76">
        <v>749</v>
      </c>
      <c r="K11" s="113"/>
      <c r="L11" s="113"/>
      <c r="M11" s="113"/>
      <c r="N11" s="121"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O11" s="84">
        <v>30</v>
      </c>
      <c r="P11" s="70" t="s">
        <v>27</v>
      </c>
      <c r="Q11" s="74">
        <v>10</v>
      </c>
      <c r="R11" s="86" t="s">
        <v>43</v>
      </c>
      <c r="S11" s="74" t="s">
        <v>29</v>
      </c>
      <c r="T11" s="88">
        <v>42583</v>
      </c>
      <c r="U11" s="77" t="s">
        <v>46</v>
      </c>
    </row>
    <row r="12" spans="1:21" ht="13" hidden="1">
      <c r="A12" s="572"/>
      <c r="B12" s="60"/>
      <c r="C12" s="74"/>
      <c r="D12" s="64"/>
      <c r="E12" s="152"/>
      <c r="F12" s="65"/>
      <c r="G12" s="70"/>
      <c r="H12" s="72"/>
      <c r="I12" s="74"/>
      <c r="J12" s="573"/>
      <c r="K12" s="113"/>
      <c r="L12" s="113"/>
      <c r="M12" s="113"/>
      <c r="N12" s="113"/>
      <c r="O12" s="74"/>
      <c r="P12" s="70"/>
      <c r="Q12" s="74"/>
      <c r="R12" s="136"/>
      <c r="S12" s="74"/>
      <c r="T12" s="74"/>
    </row>
    <row r="13" spans="1:21" ht="13" hidden="1">
      <c r="A13" s="198"/>
      <c r="B13" s="60"/>
      <c r="C13" s="74"/>
      <c r="D13" s="64"/>
      <c r="E13" s="65"/>
      <c r="F13" s="65"/>
      <c r="G13" s="70"/>
      <c r="H13" s="72"/>
      <c r="I13" s="74"/>
      <c r="J13" s="74"/>
      <c r="K13" s="113"/>
      <c r="L13" s="113"/>
      <c r="M13" s="113"/>
      <c r="N13" s="113"/>
      <c r="O13" s="74"/>
      <c r="P13" s="70"/>
      <c r="Q13" s="74"/>
      <c r="R13" s="136"/>
      <c r="S13" s="74"/>
      <c r="T13" s="125"/>
    </row>
    <row r="14" spans="1:21" ht="15.75" hidden="1" customHeight="1">
      <c r="A14" s="323"/>
      <c r="B14" s="60"/>
      <c r="C14" s="74"/>
      <c r="D14" s="165"/>
      <c r="E14" s="65"/>
      <c r="F14" s="65"/>
      <c r="G14" s="74"/>
      <c r="H14" s="72"/>
      <c r="I14" s="74"/>
      <c r="J14" s="74"/>
      <c r="K14" s="113"/>
      <c r="L14" s="113"/>
      <c r="M14" s="113"/>
      <c r="N14" s="113"/>
      <c r="O14" s="74"/>
      <c r="P14" s="70"/>
      <c r="Q14" s="74"/>
      <c r="R14" s="112"/>
      <c r="S14" s="74"/>
      <c r="T14" s="125"/>
    </row>
    <row r="15" spans="1:21" ht="13" hidden="1">
      <c r="A15" s="323"/>
      <c r="B15" s="60"/>
      <c r="C15" s="74"/>
      <c r="D15" s="100"/>
      <c r="E15" s="65"/>
      <c r="F15" s="65"/>
      <c r="G15" s="328"/>
      <c r="H15" s="72"/>
      <c r="I15" s="74"/>
      <c r="J15" s="74"/>
      <c r="K15" s="113"/>
      <c r="L15" s="113"/>
      <c r="M15" s="113"/>
      <c r="N15" s="113"/>
      <c r="O15" s="74"/>
      <c r="P15" s="70"/>
      <c r="Q15" s="74"/>
      <c r="R15" s="112"/>
      <c r="S15" s="74"/>
      <c r="T15" s="125"/>
    </row>
    <row r="16" spans="1:21" ht="13" hidden="1">
      <c r="A16" s="198"/>
      <c r="B16" s="60"/>
      <c r="C16" s="74"/>
      <c r="D16" s="173"/>
      <c r="E16" s="248"/>
      <c r="F16" s="65"/>
      <c r="G16" s="325"/>
      <c r="H16" s="72"/>
      <c r="I16" s="74"/>
      <c r="J16" s="574"/>
      <c r="K16" s="121"/>
      <c r="L16" s="121"/>
      <c r="M16" s="121"/>
      <c r="N16" s="121"/>
      <c r="O16" s="74"/>
      <c r="P16" s="70"/>
      <c r="Q16" s="74"/>
      <c r="R16" s="136"/>
      <c r="S16" s="74"/>
      <c r="T16" s="125"/>
    </row>
    <row r="17" spans="1:21" ht="13" hidden="1">
      <c r="A17" s="323"/>
      <c r="B17" s="60"/>
      <c r="C17" s="74"/>
      <c r="D17" s="173"/>
      <c r="E17" s="152"/>
      <c r="F17" s="65"/>
      <c r="G17" s="70"/>
      <c r="H17" s="72"/>
      <c r="I17" s="74"/>
      <c r="J17" s="74"/>
      <c r="K17" s="113"/>
      <c r="L17" s="113"/>
      <c r="M17" s="113"/>
      <c r="N17" s="113"/>
      <c r="O17" s="74"/>
      <c r="P17" s="70"/>
      <c r="Q17" s="74"/>
      <c r="R17" s="136"/>
      <c r="S17" s="74"/>
      <c r="T17" s="125"/>
    </row>
    <row r="18" spans="1:21" ht="13" hidden="1">
      <c r="A18" s="572"/>
      <c r="B18" s="60"/>
      <c r="C18" s="74"/>
      <c r="D18" s="192"/>
      <c r="E18" s="152"/>
      <c r="F18" s="65"/>
      <c r="G18" s="70"/>
      <c r="H18" s="72"/>
      <c r="I18" s="74"/>
      <c r="J18" s="74"/>
      <c r="K18" s="113"/>
      <c r="L18" s="113"/>
      <c r="M18" s="113"/>
      <c r="N18" s="113"/>
      <c r="O18" s="74"/>
      <c r="P18" s="70"/>
      <c r="Q18" s="74"/>
      <c r="R18" s="136"/>
      <c r="S18" s="74"/>
      <c r="T18" s="74"/>
    </row>
    <row r="19" spans="1:21" ht="13" hidden="1">
      <c r="A19" s="198"/>
      <c r="B19" s="60"/>
      <c r="C19" s="74"/>
      <c r="D19" s="64"/>
      <c r="E19" s="248"/>
      <c r="F19" s="324"/>
      <c r="G19" s="325"/>
      <c r="H19" s="72"/>
      <c r="I19" s="125"/>
      <c r="J19" s="74"/>
      <c r="K19" s="113"/>
      <c r="L19" s="113"/>
      <c r="M19" s="113"/>
      <c r="N19" s="113"/>
      <c r="O19" s="74"/>
      <c r="P19" s="70"/>
      <c r="Q19" s="74"/>
      <c r="R19" s="136"/>
      <c r="S19" s="74"/>
      <c r="T19" s="125"/>
    </row>
    <row r="20" spans="1:21" ht="13" hidden="1">
      <c r="A20" s="198"/>
      <c r="B20" s="60"/>
      <c r="C20" s="74"/>
      <c r="D20" s="64"/>
      <c r="E20" s="65"/>
      <c r="F20" s="381"/>
      <c r="G20" s="325"/>
      <c r="H20" s="72"/>
      <c r="I20" s="125"/>
      <c r="J20" s="74"/>
      <c r="K20" s="121"/>
      <c r="L20" s="121"/>
      <c r="M20" s="113"/>
      <c r="N20" s="121"/>
      <c r="O20" s="74"/>
      <c r="P20" s="70"/>
      <c r="Q20" s="74"/>
      <c r="R20" s="136"/>
      <c r="S20" s="74"/>
      <c r="T20" s="74"/>
    </row>
    <row r="21" spans="1:21" ht="13" hidden="1">
      <c r="A21" s="58" t="s">
        <v>45</v>
      </c>
      <c r="B21" s="60">
        <v>1170</v>
      </c>
      <c r="C21" s="67">
        <v>14</v>
      </c>
      <c r="D21" s="100">
        <v>1.8</v>
      </c>
      <c r="E21" s="101">
        <v>95</v>
      </c>
      <c r="F21" s="103">
        <v>126</v>
      </c>
      <c r="G21" s="74" t="s">
        <v>36</v>
      </c>
      <c r="H21" s="72" t="s">
        <v>26</v>
      </c>
      <c r="I21" s="74">
        <v>0.1</v>
      </c>
      <c r="J21" s="76">
        <v>1599</v>
      </c>
      <c r="K21" s="121" t="str">
        <f>HYPERLINK("https://amzn.to/2SOWTvV","link*")</f>
        <v>link*</v>
      </c>
      <c r="L21" s="121" t="str">
        <f>HYPERLINK("https://www.bhphotovideo.com/c/product/1393489-REG/sigma_14mm_f_1_8_dg_hsm.html/BI/19619/KBID/12129/DFF/d10-v21-t1-x881154/SID/EZ","link*")</f>
        <v>link*</v>
      </c>
      <c r="M21" s="121" t="str">
        <f>HYPERLINK("https://amzn.to/2ZDl4QJ","link*")</f>
        <v>link*</v>
      </c>
      <c r="N21" s="121"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O21" s="84">
        <v>27</v>
      </c>
      <c r="P21" s="70" t="s">
        <v>27</v>
      </c>
      <c r="Q21" s="74">
        <v>9</v>
      </c>
      <c r="R21" s="112">
        <v>43785</v>
      </c>
      <c r="S21" s="74" t="s">
        <v>47</v>
      </c>
      <c r="T21" s="88">
        <v>43221</v>
      </c>
      <c r="U21" s="77" t="s">
        <v>48</v>
      </c>
    </row>
    <row r="22" spans="1:21" ht="13" hidden="1">
      <c r="A22" s="323"/>
      <c r="B22" s="60"/>
      <c r="C22" s="74"/>
      <c r="D22" s="192"/>
      <c r="E22" s="65"/>
      <c r="F22" s="65"/>
      <c r="G22" s="74"/>
      <c r="H22" s="72"/>
      <c r="I22" s="74"/>
      <c r="J22" s="74"/>
      <c r="K22" s="113"/>
      <c r="L22" s="113"/>
      <c r="M22" s="113"/>
      <c r="N22" s="113"/>
      <c r="O22" s="74"/>
      <c r="P22" s="70"/>
      <c r="Q22" s="74"/>
      <c r="R22" s="112"/>
      <c r="S22" s="74"/>
      <c r="T22" s="125"/>
    </row>
    <row r="23" spans="1:21" ht="13" hidden="1">
      <c r="A23" s="198"/>
      <c r="B23" s="60"/>
      <c r="C23" s="74"/>
      <c r="D23" s="64"/>
      <c r="E23" s="65"/>
      <c r="F23" s="65"/>
      <c r="G23" s="70"/>
      <c r="H23" s="72"/>
      <c r="I23" s="74"/>
      <c r="J23" s="574"/>
      <c r="K23" s="121"/>
      <c r="L23" s="121"/>
      <c r="M23" s="121"/>
      <c r="N23" s="113"/>
      <c r="O23" s="74"/>
      <c r="P23" s="70"/>
      <c r="Q23" s="74"/>
      <c r="R23" s="136"/>
      <c r="S23" s="74"/>
      <c r="T23" s="125"/>
    </row>
    <row r="24" spans="1:21" ht="13" hidden="1">
      <c r="A24" s="58" t="s">
        <v>49</v>
      </c>
      <c r="B24" s="60">
        <v>795</v>
      </c>
      <c r="C24" s="67">
        <v>14</v>
      </c>
      <c r="D24" s="64">
        <v>2.8</v>
      </c>
      <c r="E24" s="65">
        <v>85</v>
      </c>
      <c r="F24" s="103">
        <v>131</v>
      </c>
      <c r="G24" s="74" t="s">
        <v>36</v>
      </c>
      <c r="H24" s="72" t="s">
        <v>26</v>
      </c>
      <c r="I24" s="74">
        <v>0.14000000000000001</v>
      </c>
      <c r="J24" s="76">
        <v>1399</v>
      </c>
      <c r="K24" s="121" t="str">
        <f>HYPERLINK("https://amzn.to/2zt8rMC","link*")</f>
        <v>link*</v>
      </c>
      <c r="L24" s="121" t="str">
        <f>HYPERLINK("https://www.bhphotovideo.com/c/product/1492972-REG/sigma_213965_14_24mm_f_2_8_dg_dn.html/BI/19619/KBID/12129/DFF/d10-v21-t1-x976041/SID/EZ","link*")</f>
        <v>link*</v>
      </c>
      <c r="M24" s="113" t="s">
        <v>51</v>
      </c>
      <c r="N24" s="121"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O24" s="84">
        <v>28</v>
      </c>
      <c r="P24" s="70" t="s">
        <v>27</v>
      </c>
      <c r="Q24" s="74">
        <v>11</v>
      </c>
      <c r="R24" s="115" t="s">
        <v>54</v>
      </c>
      <c r="S24" s="74" t="s">
        <v>47</v>
      </c>
      <c r="T24" s="88">
        <v>43739</v>
      </c>
      <c r="U24" s="77" t="s">
        <v>55</v>
      </c>
    </row>
    <row r="25" spans="1:21" ht="13" hidden="1">
      <c r="A25" s="58" t="s">
        <v>56</v>
      </c>
      <c r="B25" s="60">
        <v>505</v>
      </c>
      <c r="C25" s="67">
        <v>14</v>
      </c>
      <c r="D25" s="64">
        <v>2.8</v>
      </c>
      <c r="E25" s="65">
        <v>86</v>
      </c>
      <c r="F25" s="67">
        <v>98</v>
      </c>
      <c r="G25" s="74" t="s">
        <v>36</v>
      </c>
      <c r="H25" s="72" t="s">
        <v>26</v>
      </c>
      <c r="I25" s="74">
        <v>0.12</v>
      </c>
      <c r="J25" s="76">
        <v>799</v>
      </c>
      <c r="K25" s="121" t="str">
        <f>HYPERLINK("https://amzn.to/2SX2HUi","link*")</f>
        <v>link*</v>
      </c>
      <c r="L25" s="121" t="str">
        <f>HYPERLINK("https://www.bhphotovideo.com/c/product/1352863-REG/samyang_syio14af_e_14mm_f_2_8_f_f_wide.html/BI/19619/KBID/12129/DFF/d10-v21-t1-x837928/SID/EZ","link*")</f>
        <v>link*</v>
      </c>
      <c r="M25" s="121" t="str">
        <f>HYPERLINK("https://amzn.to/31hwSIL","link*")</f>
        <v>link*</v>
      </c>
      <c r="N25" s="121"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25" s="84">
        <v>20</v>
      </c>
      <c r="P25" s="70" t="s">
        <v>27</v>
      </c>
      <c r="Q25" s="74">
        <v>7</v>
      </c>
      <c r="R25" s="112">
        <v>43752</v>
      </c>
      <c r="S25" s="74" t="s">
        <v>38</v>
      </c>
      <c r="T25" s="88">
        <v>43221</v>
      </c>
    </row>
    <row r="26" spans="1:21" ht="13" hidden="1">
      <c r="A26" s="163" t="str">
        <f>HYPERLINK("https://phillipreeve.net/blog/review-voigtlander-15mm-4-5-e-super-wide-heliar/","Voigtlander 15mm F4.5 Super Wide Heliar")</f>
        <v>Voigtlander 15mm F4.5 Super Wide Heliar</v>
      </c>
      <c r="B26" s="60">
        <v>298</v>
      </c>
      <c r="C26" s="67">
        <v>15</v>
      </c>
      <c r="D26" s="64">
        <v>4.5</v>
      </c>
      <c r="E26" s="248">
        <v>67</v>
      </c>
      <c r="F26" s="246">
        <v>62</v>
      </c>
      <c r="G26" s="70" t="s">
        <v>25</v>
      </c>
      <c r="H26" s="72" t="s">
        <v>71</v>
      </c>
      <c r="I26" s="74">
        <v>8.3000000000000004E-2</v>
      </c>
      <c r="J26" s="76">
        <v>799</v>
      </c>
      <c r="K26" s="121" t="str">
        <f>HYPERLINK("https://amzn.to/2YwplrQ","link*")</f>
        <v>link*</v>
      </c>
      <c r="L26" s="121" t="str">
        <f>HYPERLINK("https://www.bhphotovideo.com/c/product/1219549-REG/voigtlander_ba329b_super_wide_heliar_15mm_f_4_5.html/BI/19619/KBID/12129/DFF/d10-v21-t1-x618202/SID/EZ","link*")</f>
        <v>link*</v>
      </c>
      <c r="M26" s="121" t="str">
        <f>HYPERLINK("https://amzn.to/2ZpTKt5","link*")</f>
        <v>link*</v>
      </c>
      <c r="N26" s="121"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O26" s="84">
        <v>30</v>
      </c>
      <c r="P26" s="70" t="s">
        <v>27</v>
      </c>
      <c r="Q26" s="74">
        <v>10</v>
      </c>
      <c r="R26" s="136" t="s">
        <v>43</v>
      </c>
      <c r="S26" s="74" t="s">
        <v>29</v>
      </c>
      <c r="T26" s="88">
        <v>42401</v>
      </c>
    </row>
    <row r="27" spans="1:21" ht="13">
      <c r="A27" s="163" t="str">
        <f>HYPERLINK("https://phillipreeve.net/blog/sony-fe-16-35mm-f4-za-t-review/","Sony ZA 4/16-35 OSS ")</f>
        <v xml:space="preserve">Sony ZA 4/16-35 OSS </v>
      </c>
      <c r="B27" s="60">
        <v>523</v>
      </c>
      <c r="C27" s="67">
        <v>16</v>
      </c>
      <c r="D27" s="64">
        <v>4</v>
      </c>
      <c r="E27" s="65">
        <v>78</v>
      </c>
      <c r="F27" s="67">
        <v>98</v>
      </c>
      <c r="G27" s="70" t="s">
        <v>36</v>
      </c>
      <c r="H27" s="72" t="s">
        <v>64</v>
      </c>
      <c r="I27" s="74">
        <v>0.19</v>
      </c>
      <c r="J27" s="76">
        <v>1349</v>
      </c>
      <c r="K27" s="121" t="str">
        <f>HYPERLINK("http://amzn.to/2v2sY7q","link*")</f>
        <v>link*</v>
      </c>
      <c r="L27" s="121" t="str">
        <f>HYPERLINK("https://www.bhphotovideo.com/c/product/1380866-REG/sony_16_35mm_f_4_vario_tsr.html/BI/19619/KBID/12129/kw/SO16354F/DFF/d10-v2-t1-xSO16354F","link*")</f>
        <v>link*</v>
      </c>
      <c r="M27" s="121" t="str">
        <f>HYPERLINK("http://amzn.to/2wyMLuP","link*")</f>
        <v>link*</v>
      </c>
      <c r="N27" s="121"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27" s="84">
        <v>28</v>
      </c>
      <c r="P27" s="134" t="s">
        <v>66</v>
      </c>
      <c r="Q27" s="74">
        <v>7</v>
      </c>
      <c r="R27" s="136" t="s">
        <v>43</v>
      </c>
      <c r="S27" s="74" t="s">
        <v>41</v>
      </c>
      <c r="T27" s="88">
        <v>41883</v>
      </c>
    </row>
    <row r="28" spans="1:21" ht="13" hidden="1">
      <c r="A28" s="198"/>
      <c r="B28" s="60"/>
      <c r="C28" s="74"/>
      <c r="D28" s="64"/>
      <c r="E28" s="65"/>
      <c r="F28" s="65"/>
      <c r="G28" s="70"/>
      <c r="H28" s="72"/>
      <c r="I28" s="74"/>
      <c r="J28" s="74"/>
      <c r="K28" s="113"/>
      <c r="L28" s="113"/>
      <c r="M28" s="113"/>
      <c r="N28" s="113"/>
      <c r="O28" s="74"/>
      <c r="P28" s="70"/>
      <c r="Q28" s="74"/>
      <c r="R28" s="136"/>
      <c r="S28" s="74"/>
      <c r="T28" s="125"/>
    </row>
    <row r="29" spans="1:21" ht="13" hidden="1">
      <c r="A29" s="198"/>
      <c r="B29" s="60"/>
      <c r="C29" s="74"/>
      <c r="D29" s="64"/>
      <c r="E29" s="65"/>
      <c r="F29" s="65"/>
      <c r="G29" s="325"/>
      <c r="H29" s="72"/>
      <c r="I29" s="74"/>
      <c r="J29" s="74"/>
      <c r="K29" s="113"/>
      <c r="L29" s="113"/>
      <c r="M29" s="113"/>
      <c r="N29" s="113"/>
      <c r="O29" s="74"/>
      <c r="P29" s="70"/>
      <c r="Q29" s="74"/>
      <c r="R29" s="136"/>
      <c r="S29" s="74"/>
      <c r="T29" s="125"/>
    </row>
    <row r="30" spans="1:21" ht="13" hidden="1">
      <c r="A30" s="323"/>
      <c r="B30" s="60"/>
      <c r="C30" s="74"/>
      <c r="D30" s="64"/>
      <c r="E30" s="65"/>
      <c r="F30" s="65"/>
      <c r="G30" s="70"/>
      <c r="H30" s="72"/>
      <c r="I30" s="74"/>
      <c r="J30" s="573"/>
      <c r="K30" s="113"/>
      <c r="L30" s="113"/>
      <c r="M30" s="113"/>
      <c r="N30" s="113"/>
      <c r="O30" s="74"/>
      <c r="P30" s="70"/>
      <c r="Q30" s="74"/>
      <c r="R30" s="136"/>
      <c r="S30" s="74"/>
      <c r="T30" s="74"/>
    </row>
    <row r="31" spans="1:21" ht="13">
      <c r="A31" s="58" t="s">
        <v>67</v>
      </c>
      <c r="B31" s="60">
        <v>680</v>
      </c>
      <c r="C31" s="67">
        <v>16</v>
      </c>
      <c r="D31" s="64">
        <v>2.8</v>
      </c>
      <c r="E31" s="65">
        <v>89</v>
      </c>
      <c r="F31" s="67">
        <v>122</v>
      </c>
      <c r="G31" s="70" t="s">
        <v>36</v>
      </c>
      <c r="H31" s="72" t="s">
        <v>68</v>
      </c>
      <c r="I31" s="74">
        <v>0.19</v>
      </c>
      <c r="J31" s="76">
        <v>2199</v>
      </c>
      <c r="K31" s="121" t="str">
        <f>HYPERLINK("https://amzn.to/2SR0IRl","link*")</f>
        <v>link*</v>
      </c>
      <c r="L31" s="121" t="str">
        <f>HYPERLINK("https://www.bhphotovideo.com/c/product/1338516-REG/sony_sel1635gm_fe_16_35mm_f_2_8_gm.html/BI/19619/KBID/12129/DFF/d10-v21-t1-x822837/SID/EZ","link*")</f>
        <v>link*</v>
      </c>
      <c r="M31" s="121" t="str">
        <f>HYPERLINK("https://amzn.to/2T1ZxOU","link*")</f>
        <v>link*</v>
      </c>
      <c r="N31" s="121"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31" s="84">
        <v>28</v>
      </c>
      <c r="P31" s="70" t="s">
        <v>27</v>
      </c>
      <c r="Q31" s="74">
        <v>11</v>
      </c>
      <c r="R31" s="136" t="s">
        <v>72</v>
      </c>
      <c r="S31" s="74" t="s">
        <v>41</v>
      </c>
      <c r="T31" s="88">
        <v>42856</v>
      </c>
    </row>
    <row r="32" spans="1:21" ht="13" hidden="1">
      <c r="A32" s="198"/>
      <c r="B32" s="60"/>
      <c r="C32" s="74"/>
      <c r="D32" s="64"/>
      <c r="E32" s="65"/>
      <c r="F32" s="65"/>
      <c r="G32" s="70"/>
      <c r="H32" s="72"/>
      <c r="I32" s="201"/>
      <c r="J32" s="573"/>
      <c r="K32" s="113"/>
      <c r="L32" s="113"/>
      <c r="M32" s="113"/>
      <c r="N32" s="113"/>
      <c r="O32" s="74"/>
      <c r="P32" s="70"/>
      <c r="Q32" s="74"/>
      <c r="R32" s="136"/>
      <c r="S32" s="74"/>
      <c r="T32" s="125"/>
    </row>
    <row r="33" spans="1:21" ht="13" hidden="1">
      <c r="A33" s="163" t="str">
        <f>HYPERLINK("https://phillipreeve.net/blog/review-tamron-17-28mm-f-2-8-di-iii-rxd/","Tamron 17-28mm f/2.8 Di III RXD")</f>
        <v>Tamron 17-28mm f/2.8 Di III RXD</v>
      </c>
      <c r="B33" s="60">
        <v>420</v>
      </c>
      <c r="C33" s="67">
        <v>17</v>
      </c>
      <c r="D33" s="64">
        <v>2.8</v>
      </c>
      <c r="E33" s="152">
        <v>73</v>
      </c>
      <c r="F33" s="67">
        <v>99</v>
      </c>
      <c r="G33" s="70" t="s">
        <v>36</v>
      </c>
      <c r="H33" s="72" t="s">
        <v>73</v>
      </c>
      <c r="I33" s="74">
        <v>0.19</v>
      </c>
      <c r="J33" s="156">
        <v>899</v>
      </c>
      <c r="K33" s="121" t="str">
        <f>HYPERLINK("https://amzn.to/2Hv3AyB","link*")</f>
        <v>link*</v>
      </c>
      <c r="L33" s="121" t="str">
        <f>HYPERLINK("https://www.bhphotovideo.com/c/product/1461529-REG/tamron_a046_17_28mm_f_2_8_di_iii.html/BI/19619/KBID/12129/DFF/d10-v21-t1-x946694/SID/EZ","link*")</f>
        <v>link*</v>
      </c>
      <c r="M33" s="121" t="str">
        <f>HYPERLINK("https://amzn.to/2YkrkQB","link*")</f>
        <v>link*</v>
      </c>
      <c r="N33" s="121"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33" s="84">
        <v>19</v>
      </c>
      <c r="P33" s="70" t="s">
        <v>27</v>
      </c>
      <c r="Q33" s="74">
        <v>9</v>
      </c>
      <c r="R33" s="136" t="s">
        <v>77</v>
      </c>
      <c r="S33" s="74" t="s">
        <v>78</v>
      </c>
      <c r="T33" s="88">
        <v>43647</v>
      </c>
    </row>
    <row r="34" spans="1:21" ht="13" hidden="1">
      <c r="A34" s="163" t="str">
        <f>HYPERLINK("https://phillipreeve.net/blog/review-zeiss-batis-18mm-2-8/","Zeiss Batis 2.8/18")</f>
        <v>Zeiss Batis 2.8/18</v>
      </c>
      <c r="B34" s="60">
        <v>330</v>
      </c>
      <c r="C34" s="67">
        <v>18</v>
      </c>
      <c r="D34" s="64">
        <v>2.8</v>
      </c>
      <c r="E34" s="65">
        <v>100</v>
      </c>
      <c r="F34" s="67">
        <v>80</v>
      </c>
      <c r="G34" s="70" t="s">
        <v>36</v>
      </c>
      <c r="H34" s="72" t="s">
        <v>80</v>
      </c>
      <c r="I34" s="74">
        <v>0.1</v>
      </c>
      <c r="J34" s="76">
        <v>1499</v>
      </c>
      <c r="K34" s="121" t="str">
        <f>HYPERLINK("https://amzn.to/2SRFBhL","link*")</f>
        <v>link*</v>
      </c>
      <c r="L34" s="121" t="str">
        <f>HYPERLINK("https://www.bhphotovideo.com/c/product/1243591-REG/zeiss_2136_691_batis_18mm_f_2_8_lens.html/BI/19619/KBID/12129/DFF/d10-v21-t1-x727488/SID/EZ","link*")</f>
        <v>link*</v>
      </c>
      <c r="M34" s="121" t="str">
        <f>HYPERLINK("https://amzn.to/334PqNT","link*")</f>
        <v>link*</v>
      </c>
      <c r="N34" s="121"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34" s="84">
        <v>25</v>
      </c>
      <c r="P34" s="70" t="s">
        <v>27</v>
      </c>
      <c r="Q34" s="74">
        <v>9</v>
      </c>
      <c r="R34" s="136" t="s">
        <v>86</v>
      </c>
      <c r="S34" s="74" t="s">
        <v>87</v>
      </c>
      <c r="T34" s="88">
        <v>42491</v>
      </c>
    </row>
    <row r="35" spans="1:21" ht="15.75" hidden="1" customHeight="1">
      <c r="A35" s="337"/>
      <c r="B35" s="60"/>
      <c r="C35" s="74"/>
      <c r="D35" s="235"/>
      <c r="E35" s="65"/>
      <c r="F35" s="65"/>
      <c r="G35" s="74"/>
      <c r="H35" s="236"/>
      <c r="I35" s="74"/>
      <c r="J35" s="74"/>
      <c r="K35" s="113"/>
      <c r="L35" s="113"/>
      <c r="M35" s="113"/>
      <c r="N35" s="113"/>
      <c r="O35" s="74"/>
      <c r="P35" s="70"/>
      <c r="Q35" s="74"/>
      <c r="R35" s="112"/>
      <c r="S35" s="74"/>
      <c r="T35" s="74"/>
    </row>
    <row r="36" spans="1:21" ht="13" hidden="1">
      <c r="A36" s="163" t="s">
        <v>88</v>
      </c>
      <c r="B36" s="60">
        <v>145</v>
      </c>
      <c r="C36" s="67">
        <v>18</v>
      </c>
      <c r="D36" s="64">
        <v>2.8</v>
      </c>
      <c r="E36" s="65">
        <v>63.5</v>
      </c>
      <c r="F36" s="67">
        <v>60.5</v>
      </c>
      <c r="G36" s="70" t="s">
        <v>36</v>
      </c>
      <c r="H36" s="72" t="s">
        <v>71</v>
      </c>
      <c r="I36" s="74">
        <v>0.09</v>
      </c>
      <c r="J36" s="76">
        <v>399</v>
      </c>
      <c r="K36" s="121"/>
      <c r="L36" s="121" t="str">
        <f>HYPERLINK("https://www.bhphotovideo.com/c/product/1503295-REG/samyang_syio18af_e_af_18mm_f_2_8_fe.html/BI/19619/KBID/12129/DFF/d10-v21-t1-x985623/SID/EZ","link*")</f>
        <v>link*</v>
      </c>
      <c r="M36" s="121"/>
      <c r="N36" s="121"/>
      <c r="O36" s="84">
        <v>25</v>
      </c>
      <c r="P36" s="70" t="s">
        <v>27</v>
      </c>
      <c r="Q36" s="74">
        <v>7</v>
      </c>
      <c r="R36" s="136" t="s">
        <v>91</v>
      </c>
      <c r="S36" s="74" t="s">
        <v>38</v>
      </c>
      <c r="T36" s="88">
        <v>43723</v>
      </c>
    </row>
    <row r="37" spans="1:21" ht="13" hidden="1">
      <c r="A37" s="323"/>
      <c r="B37" s="60"/>
      <c r="C37" s="74"/>
      <c r="D37" s="64"/>
      <c r="E37" s="65"/>
      <c r="F37" s="65"/>
      <c r="G37" s="74"/>
      <c r="H37" s="72"/>
      <c r="I37" s="74"/>
      <c r="J37" s="74"/>
      <c r="K37" s="113"/>
      <c r="L37" s="113"/>
      <c r="M37" s="113"/>
      <c r="N37" s="113"/>
      <c r="O37" s="74"/>
      <c r="P37" s="70"/>
      <c r="Q37" s="74"/>
      <c r="R37" s="112"/>
      <c r="S37" s="74"/>
      <c r="T37" s="125"/>
    </row>
    <row r="38" spans="1:21" ht="13" hidden="1">
      <c r="A38" s="198"/>
      <c r="B38" s="60"/>
      <c r="C38" s="74"/>
      <c r="D38" s="64"/>
      <c r="E38" s="65"/>
      <c r="F38" s="65"/>
      <c r="G38" s="328"/>
      <c r="H38" s="72"/>
      <c r="I38" s="74"/>
      <c r="J38" s="74"/>
      <c r="K38" s="113"/>
      <c r="L38" s="113"/>
      <c r="M38" s="113"/>
      <c r="N38" s="113"/>
      <c r="O38" s="74"/>
      <c r="P38" s="70"/>
      <c r="Q38" s="74"/>
      <c r="R38" s="112"/>
      <c r="S38" s="74"/>
      <c r="T38" s="74"/>
    </row>
    <row r="39" spans="1:21" ht="15.75" hidden="1" customHeight="1">
      <c r="A39" s="323"/>
      <c r="B39" s="60"/>
      <c r="C39" s="74"/>
      <c r="D39" s="64"/>
      <c r="E39" s="65"/>
      <c r="F39" s="65"/>
      <c r="G39" s="74"/>
      <c r="H39" s="72"/>
      <c r="I39" s="74"/>
      <c r="J39" s="573"/>
      <c r="K39" s="113"/>
      <c r="L39" s="113"/>
      <c r="M39" s="113"/>
      <c r="N39" s="113"/>
      <c r="O39" s="74"/>
      <c r="P39" s="70"/>
      <c r="Q39" s="74"/>
      <c r="R39" s="112"/>
      <c r="S39" s="74"/>
      <c r="T39" s="125"/>
    </row>
    <row r="40" spans="1:21" ht="13" hidden="1">
      <c r="A40" s="58" t="s">
        <v>92</v>
      </c>
      <c r="B40" s="60">
        <v>950</v>
      </c>
      <c r="C40" s="67">
        <v>20</v>
      </c>
      <c r="D40" s="165">
        <v>1.4</v>
      </c>
      <c r="E40" s="65">
        <v>91</v>
      </c>
      <c r="F40" s="67">
        <v>130</v>
      </c>
      <c r="G40" s="74" t="s">
        <v>36</v>
      </c>
      <c r="H40" s="72" t="s">
        <v>26</v>
      </c>
      <c r="I40" s="74">
        <v>0.14000000000000001</v>
      </c>
      <c r="J40" s="76">
        <v>899</v>
      </c>
      <c r="K40" s="121" t="str">
        <f>HYPERLINK("https://amzn.to/2K4J7nh","link*")</f>
        <v>link*</v>
      </c>
      <c r="L40" s="121" t="str">
        <f>HYPERLINK("https://amzn.to/31hxv55","link*")</f>
        <v>link*</v>
      </c>
      <c r="M40" s="121" t="str">
        <f>HYPERLINK("https://amzn.to/2Wy0d3F","link*")</f>
        <v>link*</v>
      </c>
      <c r="N40" s="121"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O40" s="84">
        <v>28</v>
      </c>
      <c r="P40" s="70" t="s">
        <v>27</v>
      </c>
      <c r="Q40" s="74">
        <v>9</v>
      </c>
      <c r="R40" s="112">
        <v>43784</v>
      </c>
      <c r="S40" s="74" t="s">
        <v>47</v>
      </c>
      <c r="T40" s="88">
        <v>43221</v>
      </c>
      <c r="U40" s="77" t="s">
        <v>48</v>
      </c>
    </row>
    <row r="41" spans="1:21" ht="13" hidden="1">
      <c r="A41" s="198"/>
      <c r="B41" s="60"/>
      <c r="C41" s="74"/>
      <c r="D41" s="64"/>
      <c r="E41" s="65"/>
      <c r="F41" s="65"/>
      <c r="G41" s="328"/>
      <c r="H41" s="72"/>
      <c r="I41" s="74"/>
      <c r="J41" s="74"/>
      <c r="K41" s="113"/>
      <c r="L41" s="113"/>
      <c r="M41" s="113"/>
      <c r="N41" s="113"/>
      <c r="O41" s="74"/>
      <c r="P41" s="70"/>
      <c r="Q41" s="74"/>
      <c r="R41" s="112"/>
      <c r="S41" s="74"/>
      <c r="T41" s="125"/>
    </row>
    <row r="42" spans="1:21" ht="13" hidden="1">
      <c r="A42" s="58" t="s">
        <v>104</v>
      </c>
      <c r="B42" s="60">
        <v>775</v>
      </c>
      <c r="C42" s="67">
        <v>20</v>
      </c>
      <c r="D42" s="100">
        <v>1.8</v>
      </c>
      <c r="E42" s="65">
        <v>77</v>
      </c>
      <c r="F42" s="67">
        <v>102</v>
      </c>
      <c r="G42" s="74" t="s">
        <v>25</v>
      </c>
      <c r="H42" s="72" t="s">
        <v>68</v>
      </c>
      <c r="I42" s="74">
        <v>0.12</v>
      </c>
      <c r="J42" s="76">
        <v>486</v>
      </c>
      <c r="K42" s="121" t="str">
        <f>HYPERLINK("https://amzn.to/2LRRbJ5","link*")</f>
        <v>link*</v>
      </c>
      <c r="L42" s="121" t="str">
        <f>HYPERLINK("https://www.bhphotovideo.com/c/product/1469187-REG/viltrox_pfu_rbmh_20mm_f1_8_asph_e_mount_20mm_f_1_8_for_sony.html/BI/19619/KBID/12129/DFF/d10-v21-t1-x954299/SID/EZ","link*")</f>
        <v>link*</v>
      </c>
      <c r="M42" s="121" t="str">
        <f>HYPERLINK("https://amzn.to/2GL8iYV","link*")</f>
        <v>link*</v>
      </c>
      <c r="N42" s="121"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O42" s="84">
        <v>25</v>
      </c>
      <c r="P42" s="70" t="s">
        <v>27</v>
      </c>
      <c r="Q42" s="74">
        <v>14</v>
      </c>
      <c r="R42" s="112">
        <v>43720</v>
      </c>
      <c r="S42" s="74" t="s">
        <v>106</v>
      </c>
      <c r="T42" s="88">
        <v>43586</v>
      </c>
    </row>
    <row r="43" spans="1:21" ht="13" hidden="1">
      <c r="A43" s="323"/>
      <c r="B43" s="60"/>
      <c r="C43" s="74"/>
      <c r="D43" s="64"/>
      <c r="E43" s="65"/>
      <c r="F43" s="65"/>
      <c r="G43" s="74"/>
      <c r="H43" s="72"/>
      <c r="I43" s="74"/>
      <c r="J43" s="604"/>
      <c r="K43" s="113"/>
      <c r="L43" s="113"/>
      <c r="M43" s="113"/>
      <c r="N43" s="113"/>
      <c r="O43" s="74"/>
      <c r="P43" s="70"/>
      <c r="Q43" s="74"/>
      <c r="R43" s="112"/>
      <c r="S43" s="74"/>
      <c r="T43" s="74"/>
    </row>
    <row r="44" spans="1:21" ht="13" hidden="1">
      <c r="A44" s="323"/>
      <c r="B44" s="60"/>
      <c r="C44" s="74"/>
      <c r="D44" s="304"/>
      <c r="E44" s="65"/>
      <c r="F44" s="65"/>
      <c r="G44" s="328"/>
      <c r="H44" s="72"/>
      <c r="I44" s="74"/>
      <c r="J44" s="74"/>
      <c r="K44" s="113"/>
      <c r="L44" s="113"/>
      <c r="M44" s="113"/>
      <c r="N44" s="113"/>
      <c r="O44" s="74"/>
      <c r="P44" s="70"/>
      <c r="Q44" s="74"/>
      <c r="R44" s="112"/>
      <c r="S44" s="74"/>
      <c r="T44" s="74"/>
    </row>
    <row r="45" spans="1:21" ht="13" hidden="1">
      <c r="A45" s="323"/>
      <c r="B45" s="60"/>
      <c r="C45" s="74"/>
      <c r="D45" s="64"/>
      <c r="E45" s="463"/>
      <c r="F45" s="463"/>
      <c r="G45" s="74"/>
      <c r="H45" s="244"/>
      <c r="I45" s="74"/>
      <c r="J45" s="74"/>
      <c r="K45" s="113"/>
      <c r="L45" s="113"/>
      <c r="M45" s="113"/>
      <c r="N45" s="113"/>
      <c r="O45" s="74"/>
      <c r="P45" s="70"/>
      <c r="Q45" s="74"/>
      <c r="R45" s="112"/>
      <c r="S45" s="74"/>
      <c r="T45" s="125"/>
    </row>
    <row r="46" spans="1:21" ht="13" hidden="1">
      <c r="A46" s="323"/>
      <c r="B46" s="60"/>
      <c r="C46" s="74"/>
      <c r="D46" s="64"/>
      <c r="E46" s="65"/>
      <c r="F46" s="65"/>
      <c r="G46" s="74"/>
      <c r="H46" s="72"/>
      <c r="I46" s="239"/>
      <c r="J46" s="74"/>
      <c r="K46" s="113"/>
      <c r="L46" s="113"/>
      <c r="M46" s="113"/>
      <c r="N46" s="113"/>
      <c r="O46" s="74"/>
      <c r="P46" s="70"/>
      <c r="Q46" s="74"/>
      <c r="R46" s="112"/>
      <c r="S46" s="74"/>
      <c r="T46" s="125"/>
    </row>
    <row r="47" spans="1:21" ht="13" hidden="1">
      <c r="A47" s="337"/>
      <c r="B47" s="60"/>
      <c r="C47" s="74"/>
      <c r="D47" s="64"/>
      <c r="E47" s="65"/>
      <c r="F47" s="65"/>
      <c r="G47" s="74"/>
      <c r="H47" s="72"/>
      <c r="I47" s="74"/>
      <c r="J47" s="574"/>
      <c r="K47" s="113"/>
      <c r="L47" s="113"/>
      <c r="M47" s="113"/>
      <c r="N47" s="113"/>
      <c r="O47" s="74"/>
      <c r="P47" s="70"/>
      <c r="Q47" s="74"/>
      <c r="R47" s="112"/>
      <c r="S47" s="74"/>
      <c r="T47" s="125"/>
    </row>
    <row r="48" spans="1:21" ht="13" hidden="1">
      <c r="A48" s="326"/>
      <c r="B48" s="60"/>
      <c r="C48" s="74"/>
      <c r="D48" s="64"/>
      <c r="E48" s="65"/>
      <c r="F48" s="65"/>
      <c r="G48" s="74"/>
      <c r="H48" s="72"/>
      <c r="I48" s="201"/>
      <c r="J48" s="74"/>
      <c r="K48" s="113"/>
      <c r="L48" s="113"/>
      <c r="M48" s="113"/>
      <c r="N48" s="113"/>
      <c r="O48" s="74"/>
      <c r="P48" s="70"/>
      <c r="Q48" s="74"/>
      <c r="R48" s="112"/>
      <c r="S48" s="74"/>
      <c r="T48" s="125"/>
    </row>
    <row r="49" spans="1:21" ht="13" hidden="1">
      <c r="A49" s="198"/>
      <c r="B49" s="60"/>
      <c r="C49" s="74"/>
      <c r="D49" s="304"/>
      <c r="E49" s="65"/>
      <c r="F49" s="65"/>
      <c r="G49" s="328"/>
      <c r="H49" s="72"/>
      <c r="I49" s="125"/>
      <c r="J49" s="74"/>
      <c r="K49" s="113"/>
      <c r="L49" s="113"/>
      <c r="M49" s="113"/>
      <c r="N49" s="113"/>
      <c r="O49" s="74"/>
      <c r="P49" s="70"/>
      <c r="Q49" s="74"/>
      <c r="R49" s="112"/>
      <c r="S49" s="74"/>
      <c r="T49" s="74"/>
    </row>
    <row r="50" spans="1:21" ht="13" hidden="1">
      <c r="A50" s="163" t="str">
        <f>HYPERLINK("https://phillipreeve.net/blog/tokina-firin-20mm-f2-fe-review-a-good-deal/","Tokina Firin 2/20")</f>
        <v>Tokina Firin 2/20</v>
      </c>
      <c r="B50" s="60">
        <v>492</v>
      </c>
      <c r="C50" s="67">
        <v>20</v>
      </c>
      <c r="D50" s="173">
        <v>2</v>
      </c>
      <c r="E50" s="187">
        <v>69</v>
      </c>
      <c r="F50" s="188">
        <v>82</v>
      </c>
      <c r="G50" s="70" t="s">
        <v>25</v>
      </c>
      <c r="H50" s="72" t="s">
        <v>101</v>
      </c>
      <c r="I50" s="74">
        <v>0.1</v>
      </c>
      <c r="J50" s="184">
        <v>799</v>
      </c>
      <c r="K50" s="121" t="str">
        <f>HYPERLINK("http://amzn.to/2vlG2Yq","link*")</f>
        <v>link*</v>
      </c>
      <c r="L50" s="121" t="str">
        <f>HYPERLINK("https://www.bhphotovideo.com/c/product/1281299-REG/tokina_firin_20mm_f_2_fe.html/BI/19619/KBID/12129/kw/TO202E/DFF/d10-v2-t1-xTO202E","link*")</f>
        <v>link*</v>
      </c>
      <c r="M50" s="121" t="str">
        <f>HYPERLINK("http://amzn.to/2vvtDkM","link*")</f>
        <v>link*</v>
      </c>
      <c r="N50" s="121"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c r="O50" s="84">
        <v>30</v>
      </c>
      <c r="P50" s="70" t="s">
        <v>27</v>
      </c>
      <c r="Q50" s="74">
        <v>9</v>
      </c>
      <c r="R50" s="136" t="s">
        <v>77</v>
      </c>
      <c r="S50" s="74" t="s">
        <v>103</v>
      </c>
      <c r="T50" s="88">
        <v>42856</v>
      </c>
    </row>
    <row r="51" spans="1:21" ht="13" hidden="1">
      <c r="A51" s="323"/>
      <c r="B51" s="60"/>
      <c r="C51" s="74"/>
      <c r="D51" s="64"/>
      <c r="E51" s="65"/>
      <c r="F51" s="65"/>
      <c r="G51" s="74"/>
      <c r="H51" s="72"/>
      <c r="I51" s="74"/>
      <c r="J51" s="74"/>
      <c r="K51" s="113"/>
      <c r="L51" s="113"/>
      <c r="M51" s="113"/>
      <c r="N51" s="113"/>
      <c r="O51" s="74"/>
      <c r="P51" s="70"/>
      <c r="Q51" s="74"/>
      <c r="R51" s="343"/>
      <c r="S51" s="74"/>
      <c r="T51" s="125"/>
    </row>
    <row r="52" spans="1:21" ht="13" hidden="1">
      <c r="A52" s="323"/>
      <c r="B52" s="60"/>
      <c r="C52" s="74"/>
      <c r="D52" s="64"/>
      <c r="E52" s="65"/>
      <c r="F52" s="65"/>
      <c r="G52" s="74"/>
      <c r="H52" s="72"/>
      <c r="I52" s="74"/>
      <c r="J52" s="74"/>
      <c r="K52" s="113"/>
      <c r="L52" s="113"/>
      <c r="M52" s="113"/>
      <c r="N52" s="113"/>
      <c r="O52" s="74"/>
      <c r="P52" s="70"/>
      <c r="Q52" s="74"/>
      <c r="R52" s="112"/>
      <c r="S52" s="74"/>
      <c r="T52" s="125"/>
    </row>
    <row r="53" spans="1:21" ht="13" hidden="1">
      <c r="A53" s="58" t="s">
        <v>97</v>
      </c>
      <c r="B53" s="60">
        <v>464</v>
      </c>
      <c r="C53" s="67">
        <v>20</v>
      </c>
      <c r="D53" s="173">
        <v>2</v>
      </c>
      <c r="E53" s="175">
        <v>73</v>
      </c>
      <c r="F53" s="176">
        <v>82</v>
      </c>
      <c r="G53" s="70" t="s">
        <v>36</v>
      </c>
      <c r="H53" s="72" t="s">
        <v>101</v>
      </c>
      <c r="I53" s="74">
        <v>0.1</v>
      </c>
      <c r="J53" s="76">
        <v>949</v>
      </c>
      <c r="K53" s="121" t="str">
        <f>HYPERLINK("https://amzn.to/2GDurZb","link*")</f>
        <v>link*</v>
      </c>
      <c r="L53" s="121" t="str">
        <f>HYPERLINK("https://www.bhphotovideo.com/c/product/1393327-REG/tokina_firin_20mm_f_2_fe.html/BI/19619/KBID/12129/DFF/d10-v21-t1-x880327/SID/EZ","link*")</f>
        <v>link*</v>
      </c>
      <c r="M53" s="121" t="str">
        <f>HYPERLINK("https://amzn.to/2GJYCxw","link*")</f>
        <v>link*</v>
      </c>
      <c r="N53" s="121"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53" s="84">
        <v>30</v>
      </c>
      <c r="P53" s="70" t="s">
        <v>27</v>
      </c>
      <c r="Q53" s="74">
        <v>9</v>
      </c>
      <c r="R53" s="136" t="s">
        <v>77</v>
      </c>
      <c r="S53" s="74" t="s">
        <v>103</v>
      </c>
      <c r="T53" s="88">
        <v>43221</v>
      </c>
    </row>
    <row r="54" spans="1:21" ht="13" hidden="1">
      <c r="A54" s="198"/>
      <c r="B54" s="60"/>
      <c r="C54" s="74"/>
      <c r="D54" s="64"/>
      <c r="E54" s="65"/>
      <c r="F54" s="65"/>
      <c r="G54" s="328"/>
      <c r="H54" s="72"/>
      <c r="I54" s="74"/>
      <c r="J54" s="74"/>
      <c r="K54" s="113"/>
      <c r="L54" s="113"/>
      <c r="M54" s="113"/>
      <c r="N54" s="113"/>
      <c r="O54" s="74"/>
      <c r="P54" s="70"/>
      <c r="Q54" s="74"/>
      <c r="R54" s="112"/>
      <c r="S54" s="74"/>
      <c r="T54" s="125"/>
    </row>
    <row r="55" spans="1:21" ht="13" hidden="1">
      <c r="A55" s="163" t="str">
        <f>HYPERLINK("https://phillipreeve.net/blog/review_voigtlander_21mm_f14_e/","Voigtlander 21mm F1.4 Nokton")</f>
        <v>Voigtlander 21mm F1.4 Nokton</v>
      </c>
      <c r="B55" s="60">
        <v>540</v>
      </c>
      <c r="C55" s="67">
        <v>21</v>
      </c>
      <c r="D55" s="192">
        <v>1.4</v>
      </c>
      <c r="E55" s="194">
        <v>70</v>
      </c>
      <c r="F55" s="195">
        <v>80</v>
      </c>
      <c r="G55" s="70" t="s">
        <v>25</v>
      </c>
      <c r="H55" s="72" t="s">
        <v>101</v>
      </c>
      <c r="I55" s="74"/>
      <c r="J55" s="76">
        <v>1199</v>
      </c>
      <c r="K55" s="121" t="str">
        <f>HYPERLINK("https://amzn.to/2K7gHrC","link*")</f>
        <v>link*</v>
      </c>
      <c r="L55" s="121" t="str">
        <f>HYPERLINK("https://www.bhphotovideo.com/c/product/1480269-REG/voigtlander_ba352a_nokton_21mm_f_1_4_aspherical.html/BI/19619/KBID/12129/DFF/d10-v21-t1-x963269/SID/EZ","link*")</f>
        <v>link*</v>
      </c>
      <c r="M55" s="113"/>
      <c r="N55" s="121"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c r="O55" s="84">
        <v>25</v>
      </c>
      <c r="P55" s="70" t="s">
        <v>27</v>
      </c>
      <c r="Q55" s="74">
        <v>12</v>
      </c>
      <c r="R55" s="136" t="s">
        <v>77</v>
      </c>
      <c r="S55" s="74" t="s">
        <v>29</v>
      </c>
      <c r="T55" s="88">
        <v>43617</v>
      </c>
    </row>
    <row r="56" spans="1:21" ht="13" hidden="1">
      <c r="A56" s="163" t="str">
        <f>HYPERLINK("https://phillipreeve.net/blog/rolling-review-zeiss-loxia-distagon-2-821mm-t/https://phillipreeve.net/blog/rolling-review-zeiss-loxia-distagon-2-821mm-t/","Zeiss Loxia 2.8/21 Distagon T*")</f>
        <v>Zeiss Loxia 2.8/21 Distagon T*</v>
      </c>
      <c r="B56" s="60">
        <v>394</v>
      </c>
      <c r="C56" s="67">
        <v>21</v>
      </c>
      <c r="D56" s="64">
        <v>2.8</v>
      </c>
      <c r="E56" s="194">
        <v>62</v>
      </c>
      <c r="F56" s="195">
        <v>72</v>
      </c>
      <c r="G56" s="70" t="s">
        <v>25</v>
      </c>
      <c r="H56" s="72" t="s">
        <v>131</v>
      </c>
      <c r="I56" s="74">
        <v>0.13</v>
      </c>
      <c r="J56" s="76">
        <v>1499</v>
      </c>
      <c r="K56" s="121" t="str">
        <f>HYPERLINK("https://amzn.to/2yspzBm","link*")</f>
        <v>link*</v>
      </c>
      <c r="L56" s="121" t="str">
        <f>HYPERLINK("https://www.bhphotovideo.com/c/product/1189220-REG/zeiss_2131_999_loxia_21mm_f_2_8_lens.html/BI/19619/KBID/12129/DFF/d10-v21-t1-x677077/SID/EZ","link*")</f>
        <v>link*</v>
      </c>
      <c r="M56" s="121" t="str">
        <f>HYPERLINK("https://amzn.to/2GHSOoA","link*")</f>
        <v>link*</v>
      </c>
      <c r="N56" s="121"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c r="O56" s="84">
        <v>25</v>
      </c>
      <c r="P56" s="70" t="s">
        <v>27</v>
      </c>
      <c r="Q56" s="74">
        <v>10</v>
      </c>
      <c r="R56" s="136" t="s">
        <v>132</v>
      </c>
      <c r="S56" s="74" t="s">
        <v>87</v>
      </c>
      <c r="T56" s="88">
        <v>42339</v>
      </c>
    </row>
    <row r="57" spans="1:21" ht="13" hidden="1">
      <c r="A57" s="198"/>
      <c r="B57" s="60"/>
      <c r="C57" s="74"/>
      <c r="D57" s="64"/>
      <c r="E57" s="65"/>
      <c r="F57" s="65"/>
      <c r="G57" s="328"/>
      <c r="H57" s="72"/>
      <c r="I57" s="320"/>
      <c r="J57" s="74"/>
      <c r="K57" s="113"/>
      <c r="L57" s="113"/>
      <c r="M57" s="113"/>
      <c r="N57" s="113"/>
      <c r="O57" s="74"/>
      <c r="P57" s="70"/>
      <c r="Q57" s="74"/>
      <c r="R57" s="112"/>
      <c r="S57" s="74"/>
    </row>
    <row r="58" spans="1:21" ht="13" hidden="1">
      <c r="A58" s="323"/>
      <c r="B58" s="60"/>
      <c r="C58" s="74"/>
      <c r="D58" s="64"/>
      <c r="E58" s="65"/>
      <c r="F58" s="65"/>
      <c r="G58" s="74"/>
      <c r="H58" s="72"/>
      <c r="I58" s="263"/>
      <c r="J58" s="604"/>
      <c r="K58" s="113"/>
      <c r="L58" s="113"/>
      <c r="M58" s="113"/>
      <c r="N58" s="113"/>
      <c r="O58" s="74"/>
      <c r="P58" s="70"/>
      <c r="Q58" s="74"/>
      <c r="R58" s="112"/>
      <c r="S58" s="74"/>
      <c r="T58" s="125"/>
    </row>
    <row r="59" spans="1:21" ht="13" hidden="1">
      <c r="A59" s="163" t="str">
        <f>HYPERLINK("https://phillipreeve.net/blog/voigtlander-21mm-f35-review/","Voigtlander 21mm F3.5 Color-Skopar")</f>
        <v>Voigtlander 21mm F3.5 Color-Skopar</v>
      </c>
      <c r="B59" s="60">
        <v>230</v>
      </c>
      <c r="C59" s="67">
        <v>21</v>
      </c>
      <c r="D59" s="64">
        <v>3.5</v>
      </c>
      <c r="E59" s="194">
        <v>63</v>
      </c>
      <c r="F59" s="176">
        <v>40</v>
      </c>
      <c r="G59" s="70" t="s">
        <v>25</v>
      </c>
      <c r="H59" s="72" t="s">
        <v>131</v>
      </c>
      <c r="I59" s="125"/>
      <c r="J59" s="76">
        <v>699</v>
      </c>
      <c r="K59" s="121" t="str">
        <f>HYPERLINK("https://amzn.to/2JCie75","link*")</f>
        <v>link*</v>
      </c>
      <c r="L59" s="121" t="str">
        <f>HYPERLINK("https://www.bhphotovideo.com/c/product/1437613-REG/voigtlander_color_skopar_21mm_f_3_5_aspherical.html/BI/19619/KBID/12129/kw/VO2135E/DFF/d10-v2-t1-xVO2135E","link*")</f>
        <v>link*</v>
      </c>
      <c r="M59" s="121" t="str">
        <f>HYPERLINK("https://amzn.to/2ZoERan","link*")</f>
        <v>link*</v>
      </c>
      <c r="N59" s="121"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O59" s="84">
        <v>20</v>
      </c>
      <c r="P59" s="70" t="s">
        <v>27</v>
      </c>
      <c r="Q59" s="74">
        <v>10</v>
      </c>
      <c r="R59" s="136" t="s">
        <v>91</v>
      </c>
      <c r="S59" s="74" t="s">
        <v>29</v>
      </c>
      <c r="T59" s="88">
        <v>43374</v>
      </c>
    </row>
    <row r="60" spans="1:21" ht="13">
      <c r="A60" s="163" t="str">
        <f>HYPERLINK("https://phillipreeve.net/blog/review-sony-fe-24mm-1-4-gm/","Sony GM 1.4/24")</f>
        <v>Sony GM 1.4/24</v>
      </c>
      <c r="B60" s="60">
        <v>445</v>
      </c>
      <c r="C60" s="67">
        <v>24</v>
      </c>
      <c r="D60" s="192">
        <v>1.4</v>
      </c>
      <c r="E60" s="194">
        <v>75</v>
      </c>
      <c r="F60" s="195">
        <v>92</v>
      </c>
      <c r="G60" s="70" t="s">
        <v>36</v>
      </c>
      <c r="H60" s="72" t="s">
        <v>73</v>
      </c>
      <c r="I60" s="74">
        <v>0.17</v>
      </c>
      <c r="J60" s="76">
        <v>1399</v>
      </c>
      <c r="K60" s="121" t="str">
        <f>HYPERLINK("https://amzn.to/2ywcbw1","link*")</f>
        <v>link*</v>
      </c>
      <c r="L60" s="121" t="str">
        <f>HYPERLINK("https://www.bhphotovideo.com/c/product/1435887-REG/sony_fe_24mm_f_1_4_gm.html/BI/19619/KBID/12129/DFF/d10-v21-t1-x915647/SID/EZ","link*")</f>
        <v>link*</v>
      </c>
      <c r="M60" s="121" t="str">
        <f>HYPERLINK("https://amzn.to/2L2tV9y","link*")</f>
        <v>link*</v>
      </c>
      <c r="N60" s="121" t="str">
        <f>HYPERLINK("https://amzn.to/338yg28","link*")</f>
        <v>link*</v>
      </c>
      <c r="O60" s="84">
        <v>25</v>
      </c>
      <c r="P60" s="70" t="s">
        <v>27</v>
      </c>
      <c r="Q60" s="74">
        <v>11</v>
      </c>
      <c r="R60" s="136" t="s">
        <v>28</v>
      </c>
      <c r="S60" s="74" t="s">
        <v>41</v>
      </c>
      <c r="T60" s="88">
        <v>43374</v>
      </c>
    </row>
    <row r="61" spans="1:21" ht="13" hidden="1">
      <c r="A61" s="58" t="s">
        <v>121</v>
      </c>
      <c r="B61" s="60">
        <v>665</v>
      </c>
      <c r="C61" s="67">
        <v>24</v>
      </c>
      <c r="D61" s="192">
        <v>1.4</v>
      </c>
      <c r="E61" s="194">
        <v>85</v>
      </c>
      <c r="F61" s="195">
        <v>90</v>
      </c>
      <c r="G61" s="74" t="s">
        <v>36</v>
      </c>
      <c r="H61" s="72" t="s">
        <v>80</v>
      </c>
      <c r="I61" s="74">
        <v>0.19</v>
      </c>
      <c r="J61" s="76">
        <v>849</v>
      </c>
      <c r="K61" s="121" t="str">
        <f>HYPERLINK("https://amzn.to/2Isw2Rv","link*")</f>
        <v>link*</v>
      </c>
      <c r="L61" s="121" t="str">
        <f>HYPERLINK("https://www.bhphotovideo.com/c/product/1393491-REG/sigma_24mm_f_1_4_dg_hsm.html/BI/19619/KBID/12129/kw/SI2414SO/DFF/d10-v2-t1-xSI2414SO","link*")</f>
        <v>link*</v>
      </c>
      <c r="M61" s="121" t="str">
        <f>HYPERLINK("https://amzn.to/2K7sIP4","link*")</f>
        <v>link*</v>
      </c>
      <c r="N61" s="121"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O61" s="84">
        <v>25</v>
      </c>
      <c r="P61" s="70" t="s">
        <v>27</v>
      </c>
      <c r="Q61" s="74">
        <v>9</v>
      </c>
      <c r="R61" s="112">
        <v>43784</v>
      </c>
      <c r="S61" s="74" t="s">
        <v>47</v>
      </c>
      <c r="T61" s="88">
        <v>43221</v>
      </c>
      <c r="U61" s="77" t="s">
        <v>48</v>
      </c>
    </row>
    <row r="62" spans="1:21" ht="13" hidden="1">
      <c r="A62" s="163" t="str">
        <f>HYPERLINK("https://phillipreeve.net/blog/review-samyang-af-2-4-28-fe-at-least-its-small/","Samyang AF 24mm F/2.8")</f>
        <v>Samyang AF 24mm F/2.8</v>
      </c>
      <c r="B62" s="60">
        <v>93</v>
      </c>
      <c r="C62" s="67">
        <v>24</v>
      </c>
      <c r="D62" s="64">
        <v>2.8</v>
      </c>
      <c r="E62" s="194">
        <v>61</v>
      </c>
      <c r="F62" s="176">
        <v>37</v>
      </c>
      <c r="G62" s="70" t="s">
        <v>36</v>
      </c>
      <c r="H62" s="72" t="s">
        <v>124</v>
      </c>
      <c r="I62" s="74">
        <v>0.15</v>
      </c>
      <c r="J62" s="184">
        <v>279</v>
      </c>
      <c r="K62" s="121" t="str">
        <f>HYPERLINK("https://amzn.to/2NEHZ7c","link*")</f>
        <v>link*</v>
      </c>
      <c r="L62" s="121" t="str">
        <f>HYPERLINK("https://www.bhphotovideo.com/c/product/1413350-REG/samyang_syio24af_e_af_24mm_f_2_8_fe.html/BI/19619/KBID/12129/kw/SASYIO24AFE/DFF/d10-v2-t1-xSASYIO24AFE","link*")</f>
        <v>link*</v>
      </c>
      <c r="M62" s="121" t="str">
        <f>HYPERLINK("https://amzn.to/2Onv1QE","link*")</f>
        <v>link*</v>
      </c>
      <c r="N62" s="121"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62" s="84">
        <v>20</v>
      </c>
      <c r="P62" s="70" t="s">
        <v>27</v>
      </c>
      <c r="Q62" s="74">
        <v>9</v>
      </c>
      <c r="R62" s="136" t="s">
        <v>127</v>
      </c>
      <c r="S62" s="74" t="s">
        <v>38</v>
      </c>
      <c r="T62" s="88">
        <v>43282</v>
      </c>
    </row>
    <row r="63" spans="1:21" ht="13" hidden="1">
      <c r="A63" s="323"/>
      <c r="B63" s="60"/>
      <c r="C63" s="74"/>
      <c r="D63" s="64"/>
      <c r="E63" s="65"/>
      <c r="F63" s="65"/>
      <c r="G63" s="74"/>
      <c r="H63" s="269"/>
      <c r="I63" s="74"/>
      <c r="J63" s="74"/>
      <c r="K63" s="113"/>
      <c r="L63" s="113"/>
      <c r="M63" s="113"/>
      <c r="N63" s="113"/>
      <c r="O63" s="74"/>
      <c r="P63" s="70"/>
      <c r="Q63" s="74"/>
      <c r="R63" s="343"/>
      <c r="S63" s="74"/>
      <c r="T63" s="125"/>
    </row>
    <row r="64" spans="1:21" ht="13">
      <c r="A64" s="198" t="str">
        <f>HYPERLINK("https://phillipreeve.net/blog/review-sony-fe-2-824-70mm-gm/","Sony GM 2.8/24-70")</f>
        <v>Sony GM 2.8/24-70</v>
      </c>
      <c r="B64" s="60">
        <v>886</v>
      </c>
      <c r="C64" s="67">
        <v>24</v>
      </c>
      <c r="D64" s="64">
        <v>2.8</v>
      </c>
      <c r="E64" s="194">
        <v>88</v>
      </c>
      <c r="F64" s="176">
        <v>136</v>
      </c>
      <c r="G64" s="70" t="s">
        <v>36</v>
      </c>
      <c r="H64" s="72" t="s">
        <v>68</v>
      </c>
      <c r="I64" s="201">
        <v>0.25</v>
      </c>
      <c r="J64" s="76">
        <v>2199</v>
      </c>
      <c r="K64" s="121" t="str">
        <f>HYPERLINK("https://amzn.to/2STHavK","link*")</f>
        <v>link*</v>
      </c>
      <c r="L64" s="121" t="str">
        <f>HYPERLINK("https://www.bhphotovideo.com/c/search?Ntt=gm%2024-70&amp;N=0&amp;InitialSearch=yes&amp;sts=ma&amp;Top+Nav-Search=&amp;BI=19619&amp;KBID=12129&amp;KWID=EZ","link*")</f>
        <v>link*</v>
      </c>
      <c r="M64" s="121" t="str">
        <f>HYPERLINK("https://amzn.to/2ZwoyU7","link*")</f>
        <v>link*</v>
      </c>
      <c r="N64" s="121"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64" s="84">
        <v>38</v>
      </c>
      <c r="P64" s="70" t="s">
        <v>27</v>
      </c>
      <c r="Q64" s="74">
        <v>11</v>
      </c>
      <c r="R64" s="136" t="s">
        <v>54</v>
      </c>
      <c r="S64" s="74" t="s">
        <v>41</v>
      </c>
      <c r="T64" s="88">
        <v>42401</v>
      </c>
    </row>
    <row r="65" spans="1:20" ht="13">
      <c r="A65" s="58" t="s">
        <v>129</v>
      </c>
      <c r="B65" s="60">
        <v>780</v>
      </c>
      <c r="C65" s="67">
        <v>24</v>
      </c>
      <c r="D65" s="64" t="s">
        <v>130</v>
      </c>
      <c r="E65" s="194">
        <v>80</v>
      </c>
      <c r="F65" s="176">
        <v>119</v>
      </c>
      <c r="G65" s="70" t="s">
        <v>36</v>
      </c>
      <c r="H65" s="72" t="s">
        <v>64</v>
      </c>
      <c r="I65" s="201">
        <v>0.27</v>
      </c>
      <c r="J65" s="76">
        <v>998</v>
      </c>
      <c r="K65" s="121" t="str">
        <f>HYPERLINK("http://amzn.to/2fbX5FU","link*")</f>
        <v>link*</v>
      </c>
      <c r="L65" s="121" t="str">
        <f>HYPERLINK("https://www.bhphotovideo.com/c/search?Ntt=sony%2024-240&amp;N=0&amp;InitialSearch=yes&amp;sts=ma&amp;Top+Nav-Search=&amp;BI=19619&amp;KBID=12129&amp;KWID=EZ","link*")</f>
        <v>link*</v>
      </c>
      <c r="M65" s="121" t="str">
        <f>HYPERLINK("http://amzn.to/2wyrL7A","link*")</f>
        <v>link*</v>
      </c>
      <c r="N65" s="121"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65" s="84">
        <v>50</v>
      </c>
      <c r="P65" s="134" t="s">
        <v>66</v>
      </c>
      <c r="Q65" s="74">
        <v>7</v>
      </c>
      <c r="R65" s="136" t="s">
        <v>133</v>
      </c>
      <c r="S65" s="74" t="s">
        <v>41</v>
      </c>
      <c r="T65" s="88">
        <v>42064</v>
      </c>
    </row>
    <row r="66" spans="1:20" ht="13" hidden="1">
      <c r="A66" s="526"/>
      <c r="B66" s="60"/>
      <c r="C66" s="74"/>
      <c r="D66" s="64"/>
      <c r="E66" s="65"/>
      <c r="F66" s="65"/>
      <c r="G66" s="74"/>
      <c r="H66" s="72"/>
      <c r="I66" s="74"/>
      <c r="J66" s="74"/>
      <c r="K66" s="113"/>
      <c r="L66" s="113"/>
      <c r="M66" s="113"/>
      <c r="N66" s="113"/>
      <c r="O66" s="74"/>
      <c r="P66" s="134"/>
      <c r="Q66" s="74"/>
      <c r="R66" s="112"/>
      <c r="S66" s="74"/>
      <c r="T66" s="125"/>
    </row>
    <row r="67" spans="1:20" ht="13" hidden="1">
      <c r="A67" s="323"/>
      <c r="B67" s="60"/>
      <c r="C67" s="74"/>
      <c r="D67" s="64"/>
      <c r="E67" s="463"/>
      <c r="F67" s="463"/>
      <c r="G67" s="328"/>
      <c r="H67" s="72"/>
      <c r="I67" s="74"/>
      <c r="J67" s="74"/>
      <c r="K67" s="113"/>
      <c r="L67" s="113"/>
      <c r="M67" s="113"/>
      <c r="N67" s="113"/>
      <c r="O67" s="74"/>
      <c r="P67" s="70"/>
      <c r="Q67" s="74"/>
      <c r="R67" s="112"/>
      <c r="S67" s="74"/>
      <c r="T67" s="125"/>
    </row>
    <row r="68" spans="1:20" ht="13" hidden="1">
      <c r="A68" s="323"/>
      <c r="B68" s="60"/>
      <c r="C68" s="74"/>
      <c r="D68" s="64"/>
      <c r="E68" s="463"/>
      <c r="F68" s="463"/>
      <c r="G68" s="74"/>
      <c r="H68" s="72"/>
      <c r="I68" s="74"/>
      <c r="J68" s="74"/>
      <c r="K68" s="113"/>
      <c r="L68" s="113"/>
      <c r="M68" s="113"/>
      <c r="N68" s="113"/>
      <c r="O68" s="74"/>
      <c r="P68" s="70"/>
      <c r="Q68" s="74"/>
      <c r="R68" s="112"/>
      <c r="S68" s="74"/>
      <c r="T68" s="125"/>
    </row>
    <row r="69" spans="1:20" ht="13" hidden="1">
      <c r="A69" s="198"/>
      <c r="B69" s="60"/>
      <c r="C69" s="74"/>
      <c r="D69" s="64"/>
      <c r="E69" s="65"/>
      <c r="F69" s="65"/>
      <c r="G69" s="328"/>
      <c r="H69" s="72"/>
      <c r="I69" s="74"/>
      <c r="J69" s="74"/>
      <c r="K69" s="113"/>
      <c r="L69" s="113"/>
      <c r="M69" s="113"/>
      <c r="N69" s="113"/>
      <c r="O69" s="74"/>
      <c r="P69" s="70"/>
      <c r="Q69" s="74"/>
      <c r="R69" s="112"/>
      <c r="S69" s="74"/>
      <c r="T69" s="125"/>
    </row>
    <row r="70" spans="1:20" ht="13">
      <c r="A70" s="58" t="s">
        <v>134</v>
      </c>
      <c r="B70" s="60">
        <v>663</v>
      </c>
      <c r="C70" s="67">
        <v>24</v>
      </c>
      <c r="D70" s="64">
        <v>4</v>
      </c>
      <c r="E70" s="194">
        <v>83</v>
      </c>
      <c r="F70" s="195">
        <v>113</v>
      </c>
      <c r="G70" s="70" t="s">
        <v>36</v>
      </c>
      <c r="H70" s="72" t="s">
        <v>80</v>
      </c>
      <c r="I70" s="201">
        <v>0.31</v>
      </c>
      <c r="J70" s="76">
        <v>1398</v>
      </c>
      <c r="K70" s="121" t="str">
        <f>HYPERLINK("https://amzn.to/2K7LwMR","link*")</f>
        <v>link*</v>
      </c>
      <c r="L70" s="121" t="str">
        <f>HYPERLINK("https://www.bhphotovideo.com/c/search?Ntt=sony%2024-105&amp;N=0&amp;InitialSearch=yes&amp;sts=ma&amp;Top+Nav-Search=&amp;BI=19619&amp;KBID=12129&amp;KWID=EZ","link*")</f>
        <v>link*</v>
      </c>
      <c r="M70" s="121" t="str">
        <f>HYPERLINK("https://amzn.to/2Ld8hOS","link*")</f>
        <v>link*</v>
      </c>
      <c r="N70" s="121"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70" s="84">
        <v>38</v>
      </c>
      <c r="P70" s="134" t="s">
        <v>66</v>
      </c>
      <c r="Q70" s="74">
        <v>9</v>
      </c>
      <c r="R70" s="136" t="s">
        <v>135</v>
      </c>
      <c r="S70" s="74" t="s">
        <v>41</v>
      </c>
      <c r="T70" s="88">
        <v>43009</v>
      </c>
    </row>
    <row r="71" spans="1:20" ht="13">
      <c r="A71" s="163" t="str">
        <f>HYPERLINK("https://phillipreeve.net/blog/rolling-review-carl-zeiss-vario-tessar-t-fe-424-70-za/","Sony ZA 4/24-70 OSS")</f>
        <v>Sony ZA 4/24-70 OSS</v>
      </c>
      <c r="B71" s="60">
        <v>426</v>
      </c>
      <c r="C71" s="67">
        <v>24</v>
      </c>
      <c r="D71" s="64">
        <v>4</v>
      </c>
      <c r="E71" s="194">
        <v>73</v>
      </c>
      <c r="F71" s="195">
        <v>95</v>
      </c>
      <c r="G71" s="70" t="s">
        <v>36</v>
      </c>
      <c r="H71" s="72" t="s">
        <v>73</v>
      </c>
      <c r="I71" s="74">
        <v>0.2</v>
      </c>
      <c r="J71" s="76">
        <v>898</v>
      </c>
      <c r="K71" s="121" t="str">
        <f>HYPERLINK("http://amzn.to/2vlG2Yq","link*")</f>
        <v>link*</v>
      </c>
      <c r="L71" s="121" t="str">
        <f>HYPERLINK("https://www.bhphotovideo.com/c/product/1008126-REG/sony_sel2470z_vario_tessar_t_fe_24_70mm.html/BI/19619/KBID/12129/DFF/d10-v21-t1-x466842/SID/EZ","link*")</f>
        <v>link*</v>
      </c>
      <c r="M71" s="121" t="str">
        <f>HYPERLINK("http://amzn.to/2fl1XZk","link*")</f>
        <v>link*</v>
      </c>
      <c r="N71" s="121"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71" s="84">
        <v>40</v>
      </c>
      <c r="P71" s="134" t="s">
        <v>66</v>
      </c>
      <c r="Q71" s="74">
        <v>7</v>
      </c>
      <c r="R71" s="136" t="s">
        <v>43</v>
      </c>
      <c r="S71" s="74" t="s">
        <v>41</v>
      </c>
      <c r="T71" s="88">
        <v>41640</v>
      </c>
    </row>
    <row r="72" spans="1:20" ht="13" hidden="1">
      <c r="A72" s="323"/>
      <c r="B72" s="60"/>
      <c r="C72" s="74"/>
      <c r="D72" s="64"/>
      <c r="E72" s="65"/>
      <c r="F72" s="65"/>
      <c r="G72" s="74"/>
      <c r="H72" s="72"/>
      <c r="I72" s="263"/>
      <c r="J72" s="574"/>
      <c r="K72" s="113"/>
      <c r="L72" s="113"/>
      <c r="M72" s="113"/>
      <c r="N72" s="113"/>
      <c r="O72" s="74"/>
      <c r="P72" s="70"/>
      <c r="Q72" s="74"/>
      <c r="R72" s="112"/>
      <c r="S72" s="74"/>
      <c r="T72" s="74"/>
    </row>
    <row r="73" spans="1:20" ht="13" hidden="1">
      <c r="A73" s="163" t="str">
        <f>HYPERLINK("https://phillipreeve.net/blog/review-zeiss-batis-distagon-t-25mm-f2/","Zeiss Batis 2/25")</f>
        <v>Zeiss Batis 2/25</v>
      </c>
      <c r="B73" s="60">
        <v>335</v>
      </c>
      <c r="C73" s="67">
        <v>25</v>
      </c>
      <c r="D73" s="64">
        <v>2</v>
      </c>
      <c r="E73" s="194">
        <v>92</v>
      </c>
      <c r="F73" s="195">
        <v>78</v>
      </c>
      <c r="G73" s="70" t="s">
        <v>36</v>
      </c>
      <c r="H73" s="72" t="s">
        <v>73</v>
      </c>
      <c r="I73" s="74">
        <v>0.19</v>
      </c>
      <c r="J73" s="76">
        <v>1299</v>
      </c>
      <c r="K73" s="121" t="str">
        <f>HYPERLINK("https://amzn.to/2ypHQiT","link*")</f>
        <v>link*</v>
      </c>
      <c r="L73" s="121" t="str">
        <f>HYPERLINK("https://www.bhphotovideo.com/c/product/1140832-REG/zeiss_2103_750_25mm_f_2_0_batis_wide.html/BI/19619/KBID/12129/DFF/d10-v21-t1-x627141/SID/EZ","link*")</f>
        <v>link*</v>
      </c>
      <c r="M73" s="121" t="str">
        <f>HYPERLINK("https://amzn.to/2L20DIj","link*")</f>
        <v>link*</v>
      </c>
      <c r="N73" s="121"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73" s="84">
        <v>20</v>
      </c>
      <c r="P73" s="70" t="s">
        <v>27</v>
      </c>
      <c r="Q73" s="74">
        <v>9</v>
      </c>
      <c r="R73" s="136" t="s">
        <v>140</v>
      </c>
      <c r="S73" s="74" t="s">
        <v>87</v>
      </c>
      <c r="T73" s="88">
        <v>42125</v>
      </c>
    </row>
    <row r="74" spans="1:20" ht="15.75" hidden="1" customHeight="1">
      <c r="A74" s="323"/>
      <c r="B74" s="60"/>
      <c r="C74" s="74"/>
      <c r="D74" s="64"/>
      <c r="E74" s="65"/>
      <c r="F74" s="65"/>
      <c r="G74" s="74"/>
      <c r="H74" s="278"/>
      <c r="I74" s="74"/>
      <c r="J74" s="74"/>
      <c r="K74" s="113"/>
      <c r="L74" s="113"/>
      <c r="M74" s="113"/>
      <c r="N74" s="113"/>
      <c r="O74" s="74"/>
      <c r="P74" s="70"/>
      <c r="Q74" s="74"/>
      <c r="R74" s="112"/>
      <c r="S74" s="74"/>
      <c r="T74" s="125"/>
    </row>
    <row r="75" spans="1:20" ht="13" hidden="1">
      <c r="A75" s="323"/>
      <c r="B75" s="60"/>
      <c r="C75" s="74"/>
      <c r="D75" s="64"/>
      <c r="E75" s="65"/>
      <c r="F75" s="65"/>
      <c r="G75" s="328"/>
      <c r="H75" s="72"/>
      <c r="I75" s="263"/>
      <c r="J75" s="74"/>
      <c r="K75" s="113"/>
      <c r="L75" s="113"/>
      <c r="M75" s="113"/>
      <c r="N75" s="113"/>
      <c r="O75" s="74"/>
      <c r="P75" s="70"/>
      <c r="Q75" s="74"/>
      <c r="R75" s="112"/>
      <c r="S75" s="74"/>
      <c r="T75" s="74"/>
    </row>
    <row r="76" spans="1:20" ht="13" hidden="1">
      <c r="A76" s="163" t="str">
        <f>HYPERLINK("https://phillipreeve.net/blog/review-zeiss-loxia-2-4-25mm-distagon/","Zeiss Loxia 2.4/25")</f>
        <v>Zeiss Loxia 2.4/25</v>
      </c>
      <c r="B76" s="60">
        <v>393</v>
      </c>
      <c r="C76" s="67">
        <v>25</v>
      </c>
      <c r="D76" s="64">
        <v>2.4</v>
      </c>
      <c r="E76" s="194">
        <v>62</v>
      </c>
      <c r="F76" s="195">
        <v>75</v>
      </c>
      <c r="G76" s="70" t="s">
        <v>25</v>
      </c>
      <c r="H76" s="72" t="s">
        <v>131</v>
      </c>
      <c r="I76" s="74">
        <v>0.16</v>
      </c>
      <c r="J76" s="76">
        <v>1299</v>
      </c>
      <c r="K76" s="121" t="str">
        <f>HYPERLINK("https://amzn.to/2OlyeAf","link*")</f>
        <v>link*</v>
      </c>
      <c r="L76" s="121" t="str">
        <f>HYPERLINK("https://www.bhphotovideo.com/c/product/1389169-REG/zeiss_000000_2218_783_loxia_25mm_f_2_4_lens.html/BI/19619/KBID/12129/kw/ZE2524L/DFF/d10-v2-t1-xZE2524L","link*")</f>
        <v>link*</v>
      </c>
      <c r="M76" s="121" t="str">
        <f>HYPERLINK("https://amzn.to/2OlyeAf","link*")</f>
        <v>link*</v>
      </c>
      <c r="N76" s="121" t="e">
        <f>HYPERLINK("http://rover.ebay.com/rover/1/711-53200-19255-0/1?icep_ff3=9&amp;pub=5575076376&amp;toolid=10001&amp;campid=5338573609&amp;customid=&amp;icep_uq=Zeissloxia+25mm&amp;icep_sellerId=&amp;icep_ex_kw=&amp;icep_sortBy=12&amp;icep_catId=3323&amp;icep_minPrice=&amp;icep_maxPrice=&amp;ipn=psmain&amp;icep_vectorid=2"&amp;"29466&amp;kwid=902099&amp;mtid=824&amp;kw=lg","link*")</f>
        <v>#VALUE!</v>
      </c>
      <c r="O76" s="84">
        <v>25</v>
      </c>
      <c r="P76" s="70" t="s">
        <v>27</v>
      </c>
      <c r="Q76" s="74">
        <v>10</v>
      </c>
      <c r="R76" s="136" t="s">
        <v>140</v>
      </c>
      <c r="S76" s="74" t="s">
        <v>87</v>
      </c>
      <c r="T76" s="88">
        <v>43160</v>
      </c>
    </row>
    <row r="77" spans="1:20" ht="13" hidden="1">
      <c r="A77" s="323"/>
      <c r="B77" s="60"/>
      <c r="C77" s="74"/>
      <c r="D77" s="64"/>
      <c r="E77" s="65"/>
      <c r="F77" s="65"/>
      <c r="G77" s="74"/>
      <c r="H77" s="236"/>
      <c r="I77" s="74"/>
      <c r="J77" s="574"/>
      <c r="K77" s="113"/>
      <c r="L77" s="113"/>
      <c r="M77" s="113"/>
      <c r="N77" s="113"/>
      <c r="O77" s="74"/>
      <c r="P77" s="70"/>
      <c r="Q77" s="74"/>
      <c r="R77" s="112"/>
      <c r="S77" s="74"/>
      <c r="T77" s="125"/>
    </row>
    <row r="78" spans="1:20" ht="13" hidden="1">
      <c r="A78" s="198"/>
      <c r="B78" s="60"/>
      <c r="C78" s="74"/>
      <c r="D78" s="64"/>
      <c r="E78" s="65"/>
      <c r="F78" s="65"/>
      <c r="G78" s="74"/>
      <c r="H78" s="72"/>
      <c r="I78" s="74"/>
      <c r="J78" s="74"/>
      <c r="K78" s="113"/>
      <c r="L78" s="113"/>
      <c r="M78" s="113"/>
      <c r="N78" s="113"/>
      <c r="O78" s="74"/>
      <c r="P78" s="134"/>
      <c r="Q78" s="74"/>
      <c r="R78" s="112"/>
      <c r="S78" s="74"/>
      <c r="T78" s="125"/>
    </row>
    <row r="79" spans="1:20" ht="13" hidden="1">
      <c r="A79" s="58" t="s">
        <v>141</v>
      </c>
      <c r="B79" s="60">
        <v>965</v>
      </c>
      <c r="C79" s="67">
        <v>28</v>
      </c>
      <c r="D79" s="64">
        <v>1.4</v>
      </c>
      <c r="E79" s="194">
        <v>83</v>
      </c>
      <c r="F79" s="195">
        <v>134</v>
      </c>
      <c r="G79" s="70" t="s">
        <v>36</v>
      </c>
      <c r="H79" s="72" t="s">
        <v>80</v>
      </c>
      <c r="I79" s="74">
        <v>0.19</v>
      </c>
      <c r="J79" s="76">
        <v>1399</v>
      </c>
      <c r="K79" s="121" t="str">
        <f>HYPERLINK("https://amzn.to/2Wn0pxO","link*")</f>
        <v>link*</v>
      </c>
      <c r="L79" s="121" t="str">
        <f>HYPERLINK("https://www.bhphotovideo.com/c/product/1436285-REG/sigma_28mm_f_1_4_dg_hsm.html/BI/19619/KBID/12129/kw/SI2814DGSE/DFF/d10-v2-t1-xSI2814DGSE","link*")</f>
        <v>link*</v>
      </c>
      <c r="M79" s="121" t="str">
        <f>HYPERLINK("https://amzn.to/2WzVkHd","link*")</f>
        <v>link*</v>
      </c>
      <c r="N79" s="121"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c r="O79" s="84">
        <v>28</v>
      </c>
      <c r="P79" s="70" t="s">
        <v>27</v>
      </c>
      <c r="Q79" s="74">
        <v>9</v>
      </c>
      <c r="R79" s="136" t="s">
        <v>133</v>
      </c>
      <c r="S79" s="74" t="s">
        <v>47</v>
      </c>
      <c r="T79" s="88">
        <v>43435</v>
      </c>
    </row>
    <row r="80" spans="1:20" ht="13">
      <c r="A80" s="163" t="str">
        <f>HYPERLINK("https://www.systemkamera-forum.de/blog/2015/05/sony-fe-28mm-f2-test-und-erfahrungsbericht/","Sony FE 2/28")</f>
        <v>Sony FE 2/28</v>
      </c>
      <c r="B80" s="60">
        <v>200</v>
      </c>
      <c r="C80" s="67">
        <v>28</v>
      </c>
      <c r="D80" s="64">
        <v>2</v>
      </c>
      <c r="E80" s="194">
        <v>60</v>
      </c>
      <c r="F80" s="195">
        <v>60</v>
      </c>
      <c r="G80" s="70" t="s">
        <v>36</v>
      </c>
      <c r="H80" s="72" t="s">
        <v>124</v>
      </c>
      <c r="I80" s="74">
        <v>0.13</v>
      </c>
      <c r="J80" s="156">
        <v>448</v>
      </c>
      <c r="K80" s="121" t="str">
        <f>HYPERLINK("https://amzn.to/2GXJWdo","link*")</f>
        <v>link*</v>
      </c>
      <c r="L80" s="121" t="str">
        <f>HYPERLINK("https://www.bhphotovideo.com/c/product/1402637-REG/sony_fe_28mm_f_2_lens.html/BI/19619/KBID/12129/kw/SO2820F/DFF/d10-v2-t1-xSO2820F","link*")</f>
        <v>link*</v>
      </c>
      <c r="M80" s="121" t="str">
        <f>HYPERLINK("http://amzn.to/2wyLOCO","link*")</f>
        <v>link*</v>
      </c>
      <c r="N80" s="121"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80" s="84">
        <v>29</v>
      </c>
      <c r="P80" s="70" t="s">
        <v>27</v>
      </c>
      <c r="Q80" s="74">
        <v>9</v>
      </c>
      <c r="R80" s="136" t="s">
        <v>91</v>
      </c>
      <c r="S80" s="74" t="s">
        <v>41</v>
      </c>
      <c r="T80" s="88">
        <v>42064</v>
      </c>
    </row>
    <row r="81" spans="1:21" ht="13" hidden="1">
      <c r="A81" s="163" t="str">
        <f>HYPERLINK("https://phillipreeve.net/blog/review-tamron-28-75mm-f-2-8-di-iii-rxd-sony-e-mount/","Tamron 2.8/28-75")</f>
        <v>Tamron 2.8/28-75</v>
      </c>
      <c r="B81" s="60">
        <v>550</v>
      </c>
      <c r="C81" s="67">
        <v>28</v>
      </c>
      <c r="D81" s="64">
        <v>2.8</v>
      </c>
      <c r="E81" s="194">
        <v>73</v>
      </c>
      <c r="F81" s="195">
        <v>118</v>
      </c>
      <c r="G81" s="70" t="s">
        <v>36</v>
      </c>
      <c r="H81" s="72" t="s">
        <v>73</v>
      </c>
      <c r="I81" s="201">
        <v>0.34</v>
      </c>
      <c r="J81" s="156">
        <v>879</v>
      </c>
      <c r="K81" s="121" t="str">
        <f>HYPERLINK("https://amzn.to/2ST5uxq","link*")</f>
        <v>link*</v>
      </c>
      <c r="L81" s="121" t="str">
        <f>HYPERLINK("https://www.bhphotovideo.com/c/product/1393332-REG/tamron_a036_28_75mm_f_2_8_di_iii.html/BI/19619/KBID/12129/DFF/d10-v21-t1-x892059/SID/EZ","link*")</f>
        <v>link*</v>
      </c>
      <c r="M81" s="121" t="str">
        <f>HYPERLINK("https://amzn.to/2ZmSzdU","link*")</f>
        <v>link*</v>
      </c>
      <c r="N81" s="121"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81" s="84">
        <v>19</v>
      </c>
      <c r="P81" s="70" t="s">
        <v>27</v>
      </c>
      <c r="Q81" s="74">
        <v>9</v>
      </c>
      <c r="R81" s="136" t="s">
        <v>122</v>
      </c>
      <c r="S81" s="74" t="s">
        <v>78</v>
      </c>
      <c r="T81" s="88">
        <v>43252</v>
      </c>
    </row>
    <row r="82" spans="1:21" ht="13" hidden="1">
      <c r="A82" s="58" t="s">
        <v>145</v>
      </c>
      <c r="B82" s="60">
        <v>295</v>
      </c>
      <c r="C82" s="67">
        <v>28</v>
      </c>
      <c r="D82" s="64" t="s">
        <v>146</v>
      </c>
      <c r="E82" s="194">
        <v>73</v>
      </c>
      <c r="F82" s="195">
        <v>83</v>
      </c>
      <c r="G82" s="70" t="s">
        <v>36</v>
      </c>
      <c r="H82" s="72" t="s">
        <v>147</v>
      </c>
      <c r="I82" s="74">
        <v>0.19</v>
      </c>
      <c r="J82" s="76">
        <v>398</v>
      </c>
      <c r="K82" s="121" t="str">
        <f>HYPERLINK("https://www.amazon.com/gp/product/B00FYOFADE/ref=as_li_tl?ie=UTF8&amp;tag=wwwphillipree-20&amp;camp=1789&amp;creative=9325&amp;linkCode=as2&amp;creativeASIN=B00FYOFADE&amp;linkId=96720b245156eae53bb1a672d4453d3f","link*")</f>
        <v>link*</v>
      </c>
      <c r="L82" s="121" t="str">
        <f>HYPERLINK("https://www.bhphotovideo.com/c/product/1015472-REG/sony_sel2870_fe_28_70mm_f_3_5_5_6_oss.html/BI/19619/KBID/12129/DFF/d10-v21-t1-x473993/SID/EZ","link*")</f>
        <v>link*</v>
      </c>
      <c r="M82" s="121" t="str">
        <f>HYPERLINK("https://www.amazon.de/gp/product/B00HSHFPD0/ref=as_li_tl?ie=UTF8&amp;tag=wwwphillipree-21&amp;camp=1638&amp;creative=6742&amp;linkCode=as2&amp;creativeASIN=B00HSHFPD0&amp;linkId=6701f30673f8a4071232ca85e1953506","link*")</f>
        <v>link*</v>
      </c>
      <c r="N82" s="121"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82" s="84">
        <v>30</v>
      </c>
      <c r="P82" s="134" t="s">
        <v>66</v>
      </c>
      <c r="Q82" s="74">
        <v>7</v>
      </c>
      <c r="R82" s="136" t="s">
        <v>91</v>
      </c>
      <c r="S82" s="74" t="s">
        <v>41</v>
      </c>
      <c r="T82" s="88">
        <v>41548</v>
      </c>
    </row>
    <row r="83" spans="1:21" ht="13" hidden="1">
      <c r="A83" s="58" t="s">
        <v>151</v>
      </c>
      <c r="B83" s="60">
        <v>1215</v>
      </c>
      <c r="C83" s="67">
        <v>28</v>
      </c>
      <c r="D83" s="64">
        <v>4</v>
      </c>
      <c r="E83" s="194">
        <v>105</v>
      </c>
      <c r="F83" s="195">
        <v>165</v>
      </c>
      <c r="G83" s="70" t="s">
        <v>36</v>
      </c>
      <c r="H83" s="234" t="s">
        <v>152</v>
      </c>
      <c r="I83" s="125"/>
      <c r="J83" s="76">
        <v>249</v>
      </c>
      <c r="K83" s="121" t="str">
        <f>HYPERLINK("http://amzn.to/2v2kiy9","link*")</f>
        <v>link*</v>
      </c>
      <c r="L83" s="121" t="str">
        <f>HYPERLINK("https://www.bhphotovideo.com/c/product/1082051-REG/sony_selp28135g_e_pz_28_135mm_f_4.html/BI/19619/KBID/12129/DFF/d10-v21-t1-x556056/SID/EZ","link*")</f>
        <v>link*</v>
      </c>
      <c r="M83" s="121" t="str">
        <f>HYPERLINK("http://amzn.to/2wlpg9b","link*")</f>
        <v>link*</v>
      </c>
      <c r="N83" s="121"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83" s="84">
        <v>40</v>
      </c>
      <c r="P83" s="134" t="s">
        <v>66</v>
      </c>
      <c r="Q83" s="74">
        <v>9</v>
      </c>
      <c r="R83" s="136" t="s">
        <v>153</v>
      </c>
      <c r="S83" s="74" t="s">
        <v>41</v>
      </c>
      <c r="T83" s="88">
        <v>41883</v>
      </c>
      <c r="U83" s="77" t="s">
        <v>154</v>
      </c>
    </row>
    <row r="84" spans="1:21" ht="13" hidden="1">
      <c r="A84" s="163" t="str">
        <f>HYPERLINK("https://phillipreeve.net/blog/review-sigma-35mm-1-2-art-dg-dn/","Sigma Art 1.2/35")</f>
        <v>Sigma Art 1.2/35</v>
      </c>
      <c r="B84" s="60">
        <v>1090</v>
      </c>
      <c r="C84" s="67">
        <v>35</v>
      </c>
      <c r="D84" s="235">
        <v>1.2</v>
      </c>
      <c r="E84" s="194">
        <v>88</v>
      </c>
      <c r="F84" s="195">
        <v>136</v>
      </c>
      <c r="G84" s="74" t="s">
        <v>36</v>
      </c>
      <c r="H84" s="236" t="s">
        <v>68</v>
      </c>
      <c r="I84" s="74">
        <v>0.19</v>
      </c>
      <c r="J84" s="76">
        <v>1499</v>
      </c>
      <c r="K84" s="121" t="str">
        <f>HYPERLINK("https://amzn.to/2LiHhxc","link*")</f>
        <v>link*</v>
      </c>
      <c r="L84" s="121" t="str">
        <f>HYPERLINK("https://www.bhphotovideo.com/c/product/1492967-REG/sigma_341969_35mm_f_1_2_dg_dn.html/BI/19619/KBID/12129/DFF/d10-v21-t1-x976038/SID/EZ","link*")</f>
        <v>link*</v>
      </c>
      <c r="M84" s="113"/>
      <c r="N84" s="121"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c r="O84" s="84">
        <v>30</v>
      </c>
      <c r="P84" s="70" t="s">
        <v>27</v>
      </c>
      <c r="Q84" s="74">
        <v>11</v>
      </c>
      <c r="R84" s="112">
        <v>43816</v>
      </c>
      <c r="S84" s="74" t="s">
        <v>47</v>
      </c>
      <c r="T84" s="88">
        <v>43647</v>
      </c>
    </row>
    <row r="85" spans="1:21" ht="13" hidden="1">
      <c r="A85" s="163" t="str">
        <f>HYPERLINK("https://phillipreeve.net/blog/review-sony-fe-35mm-1-4-za/","Sony ZA 1.4/35")</f>
        <v>Sony ZA 1.4/35</v>
      </c>
      <c r="B85" s="60">
        <v>630</v>
      </c>
      <c r="C85" s="67">
        <v>35</v>
      </c>
      <c r="D85" s="64">
        <v>1.4</v>
      </c>
      <c r="E85" s="194">
        <v>79</v>
      </c>
      <c r="F85" s="195">
        <v>112</v>
      </c>
      <c r="G85" s="74" t="s">
        <v>36</v>
      </c>
      <c r="H85" s="72" t="s">
        <v>64</v>
      </c>
      <c r="I85" s="74">
        <v>0.18</v>
      </c>
      <c r="J85" s="76">
        <v>1599</v>
      </c>
      <c r="K85" s="121" t="str">
        <f>HYPERLINK("https://amzn.to/2LRSMOS","link*")</f>
        <v>link*</v>
      </c>
      <c r="L85" s="121" t="str">
        <f>HYPERLINK("https://www.bhphotovideo.com/c/product/1126137-REG/sony_sel35f14z_distagon_t_fe_35mm.html/BI/19619/KBID/12129/DFF/d10-v21-t1-x612725/SID/EZ","link*")</f>
        <v>link*</v>
      </c>
      <c r="M85" s="121" t="str">
        <f>HYPERLINK("https://amzn.to/2ZmfSnX","link*")</f>
        <v>link*</v>
      </c>
      <c r="N85" s="121"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85" s="84">
        <v>30</v>
      </c>
      <c r="P85" s="70" t="s">
        <v>27</v>
      </c>
      <c r="Q85" s="74">
        <v>9</v>
      </c>
      <c r="R85" s="112">
        <v>43689</v>
      </c>
      <c r="S85" s="74" t="s">
        <v>41</v>
      </c>
      <c r="T85" s="88">
        <v>42064</v>
      </c>
    </row>
    <row r="86" spans="1:21" ht="13" hidden="1">
      <c r="A86" s="58" t="s">
        <v>155</v>
      </c>
      <c r="B86" s="60">
        <v>645</v>
      </c>
      <c r="C86" s="67">
        <v>35</v>
      </c>
      <c r="D86" s="64">
        <v>1.4</v>
      </c>
      <c r="E86" s="194">
        <v>76</v>
      </c>
      <c r="F86" s="176">
        <v>115</v>
      </c>
      <c r="G86" s="74" t="s">
        <v>36</v>
      </c>
      <c r="H86" s="72" t="s">
        <v>73</v>
      </c>
      <c r="I86" s="74">
        <v>0.17</v>
      </c>
      <c r="J86" s="76">
        <v>799</v>
      </c>
      <c r="K86" s="121" t="str">
        <f>HYPERLINK("https://amzn.to/2K8DDXH","link*")</f>
        <v>link*</v>
      </c>
      <c r="L86" s="121" t="str">
        <f t="shared" ref="L86:L87" si="0">HYPERLINK("https://www.bhphotovideo.com/c/product/1381712-REG/voigtlander_nokton_classic_35mm_f_1_4.html/BI/19619/KBID/12129/DFF/d10-v21-t1-x877353/SID/EZ","link*")</f>
        <v>link*</v>
      </c>
      <c r="M86" s="121" t="str">
        <f>HYPERLINK("https://amzn.to/2Zhl3FI","link*")</f>
        <v>link*</v>
      </c>
      <c r="N86" s="121"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86" s="84">
        <v>30</v>
      </c>
      <c r="P86" s="70" t="s">
        <v>27</v>
      </c>
      <c r="Q86" s="74">
        <v>9</v>
      </c>
      <c r="R86" s="112">
        <v>43719</v>
      </c>
      <c r="S86" s="74" t="s">
        <v>38</v>
      </c>
      <c r="T86" s="88">
        <v>43009</v>
      </c>
      <c r="U86" s="77" t="s">
        <v>156</v>
      </c>
    </row>
    <row r="87" spans="1:21" ht="13" hidden="1">
      <c r="A87" s="163" t="str">
        <f>HYPERLINK("https://phillipreeve.net/blog/review-voigtlander-35mm-1-4-nokton-e-classic/","Voigtlander 35mm F1.4 Nokton Classic")</f>
        <v>Voigtlander 35mm F1.4 Nokton Classic</v>
      </c>
      <c r="B87" s="60">
        <v>262</v>
      </c>
      <c r="C87" s="67">
        <v>35</v>
      </c>
      <c r="D87" s="64">
        <v>1.4</v>
      </c>
      <c r="E87" s="194">
        <v>67</v>
      </c>
      <c r="F87" s="176">
        <v>40</v>
      </c>
      <c r="G87" s="74" t="s">
        <v>25</v>
      </c>
      <c r="H87" s="72" t="s">
        <v>71</v>
      </c>
      <c r="I87" s="74">
        <v>0.16</v>
      </c>
      <c r="J87" s="76">
        <v>799</v>
      </c>
      <c r="K87" s="121" t="str">
        <f>HYPERLINK("https://amzn.to/2M1M8WH","link*")</f>
        <v>link*</v>
      </c>
      <c r="L87" s="121" t="str">
        <f t="shared" si="0"/>
        <v>link*</v>
      </c>
      <c r="M87" s="121" t="str">
        <f>HYPERLINK("https://amzn.to/2ZswTZ3","link*")</f>
        <v>link*</v>
      </c>
      <c r="N87" s="121"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c r="O87" s="84">
        <v>30</v>
      </c>
      <c r="P87" s="70" t="s">
        <v>27</v>
      </c>
      <c r="Q87" s="74">
        <v>10</v>
      </c>
      <c r="R87" s="112">
        <v>43624</v>
      </c>
      <c r="S87" s="74" t="s">
        <v>29</v>
      </c>
      <c r="T87" s="88">
        <v>43132</v>
      </c>
    </row>
    <row r="88" spans="1:21" ht="13" hidden="1">
      <c r="A88" s="163" t="str">
        <f>HYPERLINK("https://phillipreeve.net/blog/review-sigma-35mm-1-4-art/","Sigma Art 1.4/35")</f>
        <v>Sigma Art 1.4/35</v>
      </c>
      <c r="B88" s="60">
        <v>740</v>
      </c>
      <c r="C88" s="67">
        <v>35</v>
      </c>
      <c r="D88" s="64">
        <v>1.4</v>
      </c>
      <c r="E88" s="194">
        <v>77</v>
      </c>
      <c r="F88" s="176">
        <v>94</v>
      </c>
      <c r="G88" s="74" t="s">
        <v>36</v>
      </c>
      <c r="H88" s="72" t="s">
        <v>73</v>
      </c>
      <c r="I88" s="74">
        <v>0.19</v>
      </c>
      <c r="J88" s="156">
        <v>899</v>
      </c>
      <c r="K88" s="121" t="str">
        <f>HYPERLINK("https://amzn.to/2LOaQcZ","link*")</f>
        <v>link*</v>
      </c>
      <c r="L88" s="121" t="str">
        <f>HYPERLINK("https://www.bhphotovideo.com/c/product/1393492-REG/sigma_35mm_f_1_4_dg_hsm.html/BI/19619/KBID/12129/DFF/d10-v21-t1-x881157/SID/EZ","link*")</f>
        <v>link*</v>
      </c>
      <c r="M88" s="121" t="str">
        <f>HYPERLINK("https://amzn.to/2ZrfakE","link*")</f>
        <v>link*</v>
      </c>
      <c r="N88" s="121"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O88" s="84">
        <v>30</v>
      </c>
      <c r="P88" s="70" t="s">
        <v>27</v>
      </c>
      <c r="Q88" s="74">
        <v>9</v>
      </c>
      <c r="R88" s="112">
        <v>43782</v>
      </c>
      <c r="S88" s="74" t="s">
        <v>47</v>
      </c>
      <c r="T88" s="88">
        <v>43221</v>
      </c>
      <c r="U88" s="77" t="s">
        <v>48</v>
      </c>
    </row>
    <row r="89" spans="1:21" ht="13" hidden="1">
      <c r="A89" s="58" t="s">
        <v>157</v>
      </c>
      <c r="B89" s="60">
        <v>280</v>
      </c>
      <c r="C89" s="67">
        <v>35</v>
      </c>
      <c r="D89" s="64">
        <v>1.8</v>
      </c>
      <c r="E89" s="194">
        <v>66</v>
      </c>
      <c r="F89" s="176">
        <v>73</v>
      </c>
      <c r="G89" s="74" t="s">
        <v>36</v>
      </c>
      <c r="H89" s="72" t="s">
        <v>147</v>
      </c>
      <c r="I89" s="239">
        <v>0.24</v>
      </c>
      <c r="J89" s="76">
        <v>749</v>
      </c>
      <c r="K89" s="113"/>
      <c r="L89" s="121" t="str">
        <f>HYPERLINK("https://www.bhphotovideo.com/c/product/1492866-REG/sony_sel35f18f_35mm_f_1_8_fe_lens.html/BI/19619/KBID/12129/DFF/d10-v21-t1-x975763/SID/EZ","link*")</f>
        <v>link*</v>
      </c>
      <c r="M89" s="121" t="str">
        <f>HYPERLINK("https://amzn.to/2PiATLC","link*")</f>
        <v>link*</v>
      </c>
      <c r="N89" s="121"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89" s="84">
        <v>22</v>
      </c>
      <c r="P89" s="70" t="s">
        <v>27</v>
      </c>
      <c r="Q89" s="74">
        <v>9</v>
      </c>
      <c r="R89" s="112">
        <v>43719</v>
      </c>
      <c r="S89" s="74" t="s">
        <v>41</v>
      </c>
      <c r="T89" s="88">
        <v>43647</v>
      </c>
    </row>
    <row r="90" spans="1:21" ht="13" hidden="1">
      <c r="A90" s="163" t="str">
        <f>HYPERLINK("https://phillipreeve.net/blog/review-zeiss-loxia-35mm-2-0/","Zeiss Loxia 2/35 Biogon T*")</f>
        <v>Zeiss Loxia 2/35 Biogon T*</v>
      </c>
      <c r="B90" s="60">
        <v>340</v>
      </c>
      <c r="C90" s="67">
        <v>35</v>
      </c>
      <c r="D90" s="64">
        <v>2</v>
      </c>
      <c r="E90" s="194">
        <v>62</v>
      </c>
      <c r="F90" s="195">
        <v>66</v>
      </c>
      <c r="G90" s="74" t="s">
        <v>25</v>
      </c>
      <c r="H90" s="72" t="s">
        <v>131</v>
      </c>
      <c r="I90" s="74">
        <v>0.17</v>
      </c>
      <c r="J90" s="76">
        <v>1299</v>
      </c>
      <c r="K90" s="121" t="str">
        <f>HYPERLINK("https://amzn.to/2T2sJWe","link*")</f>
        <v>link*</v>
      </c>
      <c r="L90" s="121" t="str">
        <f>HYPERLINK("https://www.bhphotovideo.com/c/product/1080388-REG/zeiss_2103_749_loxia_35mm_f_2_biogon.html/BI/19619/KBID/12129/DFF/d10-v21-t1-x553792/SID/EZ","link*")</f>
        <v>link*</v>
      </c>
      <c r="M90" s="113" t="s">
        <v>51</v>
      </c>
      <c r="N90" s="121"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O90" s="84">
        <v>30</v>
      </c>
      <c r="P90" s="70" t="s">
        <v>27</v>
      </c>
      <c r="Q90" s="74">
        <v>10</v>
      </c>
      <c r="R90" s="112">
        <v>43625</v>
      </c>
      <c r="S90" s="74" t="s">
        <v>87</v>
      </c>
      <c r="T90" s="88">
        <v>41974</v>
      </c>
      <c r="U90" s="77" t="s">
        <v>166</v>
      </c>
    </row>
    <row r="91" spans="1:21" ht="13" hidden="1">
      <c r="A91" s="163" t="str">
        <f>HYPERLINK("http://www.photozone.de/sonyalphaff/865-zeiss35f28ff","Sony ZA 2.8/35")</f>
        <v>Sony ZA 2.8/35</v>
      </c>
      <c r="B91" s="60">
        <v>120</v>
      </c>
      <c r="C91" s="67">
        <v>35</v>
      </c>
      <c r="D91" s="64">
        <v>2.8</v>
      </c>
      <c r="E91" s="194">
        <v>62</v>
      </c>
      <c r="F91" s="195">
        <v>37</v>
      </c>
      <c r="G91" s="74" t="s">
        <v>36</v>
      </c>
      <c r="H91" s="72" t="s">
        <v>124</v>
      </c>
      <c r="I91" s="74">
        <v>0.12</v>
      </c>
      <c r="J91" s="76">
        <v>798</v>
      </c>
      <c r="K91" s="121" t="str">
        <f>HYPERLINK("https://amzn.to/2yvhL24","link*")</f>
        <v>link*</v>
      </c>
      <c r="L91" s="121" t="str">
        <f>HYPERLINK("https://www.bhphotovideo.com/c/product/1008123-REG/sony_sel35f28z_sonnar_t_fe_35mm.html/BI/19619/KBID/12129/DFF/d10-v21-t1-x466840/SID/EZ","link*")</f>
        <v>link*</v>
      </c>
      <c r="M91" s="113" t="s">
        <v>51</v>
      </c>
      <c r="N91" s="121"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91" s="84">
        <v>35</v>
      </c>
      <c r="P91" s="70" t="s">
        <v>27</v>
      </c>
      <c r="Q91" s="74">
        <v>9</v>
      </c>
      <c r="R91" s="112">
        <v>43592</v>
      </c>
      <c r="S91" s="74" t="s">
        <v>41</v>
      </c>
      <c r="T91" s="88">
        <v>41487</v>
      </c>
    </row>
    <row r="92" spans="1:21" ht="13" hidden="1">
      <c r="A92" s="58" t="s">
        <v>158</v>
      </c>
      <c r="B92" s="60">
        <v>86</v>
      </c>
      <c r="C92" s="67">
        <v>35</v>
      </c>
      <c r="D92" s="64">
        <v>2.8</v>
      </c>
      <c r="E92" s="194">
        <v>62</v>
      </c>
      <c r="F92" s="195">
        <v>33</v>
      </c>
      <c r="G92" s="74" t="s">
        <v>36</v>
      </c>
      <c r="H92" s="72" t="s">
        <v>124</v>
      </c>
      <c r="I92" s="74">
        <v>0.12</v>
      </c>
      <c r="J92" s="241">
        <v>399</v>
      </c>
      <c r="K92" s="121" t="str">
        <f t="shared" ref="K92:K93" si="1">HYPERLINK("https://amzn.to/2MGKrxp","link*")</f>
        <v>link*</v>
      </c>
      <c r="L92" s="121" t="str">
        <f>HYPERLINK("https://www.bhphotovideo.com/c/product/1348365-REG/samyang_syio35af_e_35mm_f2_8_compact_wide.html/BI/19619/KBID/12129/DFF/d10-v21-t1-x832776/SID/EZ","link*")</f>
        <v>link*</v>
      </c>
      <c r="M92" s="113" t="s">
        <v>51</v>
      </c>
      <c r="N92" s="121"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92" s="84">
        <v>35</v>
      </c>
      <c r="P92" s="70" t="s">
        <v>27</v>
      </c>
      <c r="Q92" s="74">
        <v>9</v>
      </c>
      <c r="R92" s="112">
        <v>43623</v>
      </c>
      <c r="S92" s="74" t="s">
        <v>38</v>
      </c>
      <c r="T92" s="88">
        <v>42917</v>
      </c>
    </row>
    <row r="93" spans="1:21" ht="13" hidden="1">
      <c r="A93" s="163" t="str">
        <f>HYPERLINK("https://phillipreeve.net/blog/voigtlander-40mm-f1-2-nokton-aspherical-rolling-review/","Voigtlander 40mm F1.2 Nokton")</f>
        <v>Voigtlander 40mm F1.2 Nokton</v>
      </c>
      <c r="B93" s="60">
        <v>420</v>
      </c>
      <c r="C93" s="67">
        <v>40</v>
      </c>
      <c r="D93" s="304">
        <v>1.2</v>
      </c>
      <c r="E93" s="194">
        <v>70</v>
      </c>
      <c r="F93" s="195">
        <v>59</v>
      </c>
      <c r="G93" s="74" t="s">
        <v>25</v>
      </c>
      <c r="H93" s="72" t="s">
        <v>71</v>
      </c>
      <c r="I93" s="74">
        <v>0.16</v>
      </c>
      <c r="J93" s="76">
        <v>1099</v>
      </c>
      <c r="K93" s="121" t="str">
        <f t="shared" si="1"/>
        <v>link*</v>
      </c>
      <c r="L93" s="121" t="str">
        <f>HYPERLINK("https://www.bhphotovideo.com/c/product/1362557-REG/voigtlander_nokton_40mm_f_1_2_aspherical.html/BI/19619/KBID/12129/DFF/d10-v21-t1-x851241/SID/EZ","link*")</f>
        <v>link*</v>
      </c>
      <c r="M93" s="113" t="s">
        <v>51</v>
      </c>
      <c r="N93" s="121"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c r="O93" s="84">
        <v>35</v>
      </c>
      <c r="P93" s="70" t="s">
        <v>27</v>
      </c>
      <c r="Q93" s="74">
        <v>10</v>
      </c>
      <c r="R93" s="112">
        <v>43624</v>
      </c>
      <c r="S93" s="74" t="s">
        <v>29</v>
      </c>
      <c r="T93" s="88">
        <v>43040</v>
      </c>
    </row>
    <row r="94" spans="1:21" ht="13" hidden="1">
      <c r="A94" s="163" t="str">
        <f>HYPERLINK("https://phillipreeve.net/blog/review-sigma-40mm-1-4-art/","Sigma Art 1.4/40")</f>
        <v>Sigma Art 1.4/40</v>
      </c>
      <c r="B94" s="60">
        <v>1200</v>
      </c>
      <c r="C94" s="67">
        <v>40</v>
      </c>
      <c r="D94" s="64">
        <v>1.4</v>
      </c>
      <c r="E94" s="194">
        <v>88</v>
      </c>
      <c r="F94" s="176">
        <v>157</v>
      </c>
      <c r="G94" s="74" t="s">
        <v>36</v>
      </c>
      <c r="H94" s="244" t="s">
        <v>68</v>
      </c>
      <c r="I94" s="74">
        <v>0.15</v>
      </c>
      <c r="J94" s="76">
        <v>1399</v>
      </c>
      <c r="K94" s="121" t="str">
        <f>HYPERLINK("https://amzn.to/2SYXFXq","link*")</f>
        <v>link*</v>
      </c>
      <c r="L94" s="121" t="str">
        <f>HYPERLINK("https://www.bhphotovideo.com/c/product/1436292-REG/sigma_40mm_f_1_4_dg_hsm.html/BI/19619/KBID/12129/DFF/d10-v21-t1-x925196/SID/EZ","link*")</f>
        <v>link*</v>
      </c>
      <c r="M94" s="113" t="s">
        <v>51</v>
      </c>
      <c r="N94" s="121"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O94" s="84">
        <v>40</v>
      </c>
      <c r="P94" s="70" t="s">
        <v>27</v>
      </c>
      <c r="Q94" s="74">
        <v>9</v>
      </c>
      <c r="R94" s="112">
        <v>43815</v>
      </c>
      <c r="S94" s="74" t="s">
        <v>47</v>
      </c>
      <c r="T94" s="88">
        <v>43435</v>
      </c>
      <c r="U94" s="77" t="s">
        <v>48</v>
      </c>
    </row>
    <row r="95" spans="1:21" ht="13" hidden="1">
      <c r="A95" s="163" t="str">
        <f>HYPERLINK("https://phillipreeve.net/blog/review-zeiss-batis-2-40-cf/","Zeiss Batis 2/40 CF T*")</f>
        <v>Zeiss Batis 2/40 CF T*</v>
      </c>
      <c r="B95" s="60">
        <v>361</v>
      </c>
      <c r="C95" s="67">
        <v>40</v>
      </c>
      <c r="D95" s="64">
        <v>2</v>
      </c>
      <c r="E95" s="194">
        <v>91</v>
      </c>
      <c r="F95" s="176">
        <v>93</v>
      </c>
      <c r="G95" s="74" t="s">
        <v>36</v>
      </c>
      <c r="H95" s="72" t="s">
        <v>73</v>
      </c>
      <c r="I95" s="239">
        <v>0.3</v>
      </c>
      <c r="J95" s="76">
        <v>1299</v>
      </c>
      <c r="K95" s="121" t="str">
        <f>HYPERLINK("https://amzn.to/2LUN0MF","link*")</f>
        <v>link*</v>
      </c>
      <c r="L95" s="121" t="str">
        <f>HYPERLINK("https://www.bhphotovideo.com/c/product/1436738-REG/zeiss_000000_2239_137_batis_40mm_f_2_cf.html/BI/19619/KBID/12129/DFF/d10-v21-t1-x915694/SID/EZ","link*")</f>
        <v>link*</v>
      </c>
      <c r="M95" s="113" t="s">
        <v>51</v>
      </c>
      <c r="N95" s="121"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95" s="84">
        <v>24</v>
      </c>
      <c r="P95" s="70" t="s">
        <v>27</v>
      </c>
      <c r="Q95" s="74">
        <v>9</v>
      </c>
      <c r="R95" s="112">
        <v>43686</v>
      </c>
      <c r="S95" s="74" t="s">
        <v>87</v>
      </c>
      <c r="T95" s="88">
        <v>43435</v>
      </c>
      <c r="U95" s="77" t="s">
        <v>159</v>
      </c>
    </row>
    <row r="96" spans="1:21" ht="13" hidden="1">
      <c r="A96" s="58" t="s">
        <v>160</v>
      </c>
      <c r="B96" s="60">
        <v>162</v>
      </c>
      <c r="C96" s="67">
        <v>45</v>
      </c>
      <c r="D96" s="64">
        <v>1.8</v>
      </c>
      <c r="E96" s="194">
        <v>62</v>
      </c>
      <c r="F96" s="176">
        <v>56</v>
      </c>
      <c r="G96" s="74" t="s">
        <v>36</v>
      </c>
      <c r="H96" s="72" t="s">
        <v>124</v>
      </c>
      <c r="I96" s="74">
        <v>0.12</v>
      </c>
      <c r="J96" s="184">
        <v>399</v>
      </c>
      <c r="K96" s="121" t="str">
        <f>HYPERLINK("https://amzn.to/2YC6MST","link*")</f>
        <v>link*</v>
      </c>
      <c r="L96" s="121" t="str">
        <f>HYPERLINK("https://www.bhphotovideo.com/c/product/1478738-REG/samyang_af_45mm_f_1_8_fe.html/BI/19619/KBID/12129/DFF/d10-v21-t1-x964329/SID/EZ","link*")</f>
        <v>link*</v>
      </c>
      <c r="M96" s="113" t="s">
        <v>51</v>
      </c>
      <c r="N96" s="121"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96" s="84">
        <v>45</v>
      </c>
      <c r="P96" s="70" t="s">
        <v>27</v>
      </c>
      <c r="Q96" s="74">
        <v>9</v>
      </c>
      <c r="R96" s="112">
        <v>43623</v>
      </c>
      <c r="S96" s="74" t="s">
        <v>38</v>
      </c>
      <c r="T96" s="88">
        <v>43647</v>
      </c>
    </row>
    <row r="97" spans="1:21" ht="13" hidden="1">
      <c r="A97" s="58" t="s">
        <v>161</v>
      </c>
      <c r="B97" s="60">
        <v>215</v>
      </c>
      <c r="C97" s="67">
        <v>45</v>
      </c>
      <c r="D97" s="64">
        <v>2.8</v>
      </c>
      <c r="E97" s="194">
        <v>64</v>
      </c>
      <c r="F97" s="195">
        <v>46</v>
      </c>
      <c r="G97" s="74" t="s">
        <v>36</v>
      </c>
      <c r="H97" s="72" t="s">
        <v>147</v>
      </c>
      <c r="I97" s="201">
        <v>0.25</v>
      </c>
      <c r="J97" s="76">
        <v>549</v>
      </c>
      <c r="K97" s="121" t="str">
        <f>HYPERLINK("https://amzn.to/2SYEvAX","link*")</f>
        <v>link*</v>
      </c>
      <c r="L97" s="121" t="str">
        <f>HYPERLINK("https://www.bhphotovideo.com/c/product/1492966-REG/sigma_360965_45mm_f_2_8_dg_dn.html/BI/19619/KBID/12129/DFF/d10-v21-t1-x976020/SID/EZ","link*")</f>
        <v>link*</v>
      </c>
      <c r="M97" s="113" t="s">
        <v>51</v>
      </c>
      <c r="N97" s="121"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O97" s="84">
        <v>24</v>
      </c>
      <c r="P97" s="70" t="s">
        <v>27</v>
      </c>
      <c r="Q97" s="74">
        <v>7</v>
      </c>
      <c r="R97" s="112">
        <v>43654</v>
      </c>
      <c r="S97" s="74" t="s">
        <v>47</v>
      </c>
      <c r="T97" s="88">
        <v>43647</v>
      </c>
      <c r="U97" s="77" t="s">
        <v>162</v>
      </c>
    </row>
    <row r="98" spans="1:21" ht="13" hidden="1">
      <c r="A98" s="163" t="str">
        <f>HYPERLINK("https://phillipreeve.net/blog/review-voigtlander-50mm-1-2-nokton-e/","Voigtlander 50mm F1.2 Nokton")</f>
        <v>Voigtlander 50mm F1.2 Nokton</v>
      </c>
      <c r="B98" s="60">
        <v>440</v>
      </c>
      <c r="C98" s="67">
        <v>50</v>
      </c>
      <c r="D98" s="304">
        <v>1.2</v>
      </c>
      <c r="E98" s="194">
        <v>70</v>
      </c>
      <c r="F98" s="195">
        <v>58</v>
      </c>
      <c r="G98" s="74" t="s">
        <v>25</v>
      </c>
      <c r="H98" s="72" t="s">
        <v>71</v>
      </c>
      <c r="I98" s="125"/>
      <c r="J98" s="76">
        <v>1099</v>
      </c>
      <c r="K98" s="121" t="str">
        <f>HYPERLINK("https://amzn.to/2OAfE7N","link*")</f>
        <v>link*</v>
      </c>
      <c r="L98" s="121" t="str">
        <f>HYPERLINK("https://www.bhphotovideo.com/c/product/1433349-REG/voigtlander_ba348a_nokton_50mm_f_1_2_aspherical.html/BI/19619/KBID/12129/DFF/d10-v21-t1-x915623/SID/EZ","link*")</f>
        <v>link*</v>
      </c>
      <c r="M98" s="113" t="s">
        <v>51</v>
      </c>
      <c r="N98" s="121" t="e">
        <f>HYPERLINK("http://rover.ebay.com/rover/1/711-53200-19255-0/1?icep_ff3=9&amp;pub=5575076376&amp;toolid=10001&amp;campid=5338164340&amp;customid=&amp;icep_uq=sony+50+1.2&amp;icep_sellerId=&amp;icep_ex_kw=&amp;icep_sortBy=12&amp;icep_catId=3323&amp;icep_minPrice=&amp;icep_maxPrice=&amp;ipn=psmain&amp;icep_vectorid=22946"&amp;"6&amp;kwid=902099&amp;mtid=824&amp;kw=lg","link*")</f>
        <v>#VALUE!</v>
      </c>
      <c r="O98" s="84">
        <v>45</v>
      </c>
      <c r="P98" s="70" t="s">
        <v>27</v>
      </c>
      <c r="Q98" s="74">
        <v>12</v>
      </c>
      <c r="R98" s="112">
        <v>43624</v>
      </c>
      <c r="S98" s="74" t="s">
        <v>29</v>
      </c>
      <c r="T98" s="88">
        <v>43556</v>
      </c>
    </row>
    <row r="99" spans="1:21" ht="13" hidden="1">
      <c r="A99" s="58" t="s">
        <v>163</v>
      </c>
      <c r="B99" s="60">
        <v>778</v>
      </c>
      <c r="C99" s="67">
        <v>50</v>
      </c>
      <c r="D99" s="64">
        <v>1.4</v>
      </c>
      <c r="E99" s="194">
        <v>84</v>
      </c>
      <c r="F99" s="195">
        <v>108</v>
      </c>
      <c r="G99" s="74" t="s">
        <v>36</v>
      </c>
      <c r="H99" s="72" t="s">
        <v>64</v>
      </c>
      <c r="I99" s="74">
        <v>0.15</v>
      </c>
      <c r="J99" s="76">
        <v>1499</v>
      </c>
      <c r="K99" s="121" t="str">
        <f>HYPERLINK("https://amzn.to/2K88EL7","link*")</f>
        <v>link*</v>
      </c>
      <c r="L99" s="113" t="s">
        <v>51</v>
      </c>
      <c r="M99" s="113" t="s">
        <v>51</v>
      </c>
      <c r="N99" s="121"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99" s="84">
        <v>45</v>
      </c>
      <c r="P99" s="70" t="s">
        <v>27</v>
      </c>
      <c r="Q99" s="74">
        <v>11</v>
      </c>
      <c r="R99" s="112">
        <v>43720</v>
      </c>
      <c r="S99" s="74" t="s">
        <v>41</v>
      </c>
      <c r="T99" s="88">
        <v>42583</v>
      </c>
    </row>
    <row r="100" spans="1:21" ht="13" hidden="1">
      <c r="A100" s="58" t="s">
        <v>164</v>
      </c>
      <c r="B100" s="60">
        <v>815</v>
      </c>
      <c r="C100" s="67">
        <v>50</v>
      </c>
      <c r="D100" s="64">
        <v>1.4</v>
      </c>
      <c r="E100" s="194">
        <v>85</v>
      </c>
      <c r="F100" s="195">
        <v>100</v>
      </c>
      <c r="G100" s="74" t="s">
        <v>36</v>
      </c>
      <c r="H100" s="72" t="s">
        <v>80</v>
      </c>
      <c r="I100" s="74">
        <v>0.18</v>
      </c>
      <c r="J100" s="76">
        <v>949</v>
      </c>
      <c r="K100" s="121" t="str">
        <f>HYPERLINK("https://amzn.to/2K4JmyT","link*")</f>
        <v>link*</v>
      </c>
      <c r="L100" s="121" t="str">
        <f>HYPERLINK("https://www.bhphotovideo.com/c/product/1393493-REG/sigma_50mm_f_1_4_dg_hsm.html/BI/19619/KBID/12129/kw/SI5014SO/DFF/d10-v2-t1-xSI5014SO","link*")</f>
        <v>link*</v>
      </c>
      <c r="M100" s="121" t="str">
        <f>HYPERLINK("https://amzn.to/2Wpdoz5","link*")</f>
        <v>link*</v>
      </c>
      <c r="N100" s="121" t="e">
        <f>HYPERLINK("http://rover.ebay.com/rover/1/711-53200-19255-0/1?icep_ff3=9&amp;pub=5575076376&amp;toolid=10001&amp;campid=5338164340&amp;customid=&amp;icep_uq=sony+50+1.4+za+-ssm&amp;icep_sellerId=&amp;icep_ex_kw=&amp;icep_sortBy=12&amp;icep_catId=3323&amp;icep_minPrice=&amp;icep_maxPrice=&amp;ipn=psmain&amp;icep_vector"&amp;"id=229466&amp;kwid=902099&amp;mtid=824&amp;kw=lg","link*")</f>
        <v>#VALUE!</v>
      </c>
      <c r="O100" s="84">
        <v>40</v>
      </c>
      <c r="P100" s="70" t="s">
        <v>27</v>
      </c>
      <c r="Q100" s="74">
        <v>9</v>
      </c>
      <c r="R100" s="112">
        <v>43690</v>
      </c>
      <c r="S100" s="74" t="s">
        <v>47</v>
      </c>
      <c r="T100" s="88">
        <v>43221</v>
      </c>
      <c r="U100" s="77" t="s">
        <v>48</v>
      </c>
    </row>
    <row r="101" spans="1:21" ht="13" hidden="1">
      <c r="A101" s="58" t="s">
        <v>165</v>
      </c>
      <c r="B101" s="60">
        <v>585</v>
      </c>
      <c r="C101" s="67">
        <v>50</v>
      </c>
      <c r="D101" s="64">
        <v>1.4</v>
      </c>
      <c r="E101" s="194">
        <v>74</v>
      </c>
      <c r="F101" s="195">
        <v>98</v>
      </c>
      <c r="G101" s="74" t="s">
        <v>36</v>
      </c>
      <c r="H101" s="72" t="s">
        <v>73</v>
      </c>
      <c r="I101" s="74">
        <v>0.15</v>
      </c>
      <c r="J101" s="76">
        <v>699</v>
      </c>
      <c r="K101" s="121" t="str">
        <f>HYPERLINK("https://amzn.to/2SY1Pyr","link*")</f>
        <v>link*</v>
      </c>
      <c r="L101" s="121" t="str">
        <f>HYPERLINK("https://www.bhphotovideo.com/c/product/1352862-REG/samyang_syio50af_e_50mm_f_1_4_auto_focus.html/BI/19619/KBID/12129/DFF/d10-v21-t1-x837927/SID/EZ","link*")</f>
        <v>link*</v>
      </c>
      <c r="M101" s="113" t="s">
        <v>51</v>
      </c>
      <c r="N101" s="121"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101" s="84">
        <v>45</v>
      </c>
      <c r="P101" s="70" t="s">
        <v>27</v>
      </c>
      <c r="Q101" s="74">
        <v>9</v>
      </c>
      <c r="R101" s="112">
        <v>43686</v>
      </c>
      <c r="S101" s="74" t="s">
        <v>38</v>
      </c>
      <c r="T101" s="88">
        <v>42583</v>
      </c>
    </row>
    <row r="102" spans="1:21" ht="13">
      <c r="A102" s="126" t="str">
        <f>HYPERLINK("https://phillipreeve.net/blog/review-sony-fe-1-850/","Sony 50mm F1.8")</f>
        <v>Sony 50mm F1.8</v>
      </c>
      <c r="B102" s="60">
        <v>186</v>
      </c>
      <c r="C102" s="67">
        <v>50</v>
      </c>
      <c r="D102" s="64">
        <v>1.8</v>
      </c>
      <c r="E102" s="194">
        <v>69</v>
      </c>
      <c r="F102" s="195">
        <v>60</v>
      </c>
      <c r="G102" s="74" t="s">
        <v>36</v>
      </c>
      <c r="H102" s="72" t="s">
        <v>124</v>
      </c>
      <c r="I102" s="74">
        <v>0.14000000000000001</v>
      </c>
      <c r="J102" s="156">
        <v>249</v>
      </c>
      <c r="K102" s="79" t="str">
        <f>HYPERLINK("http://amzn.to/2v2F5Se","link*")</f>
        <v>link*</v>
      </c>
      <c r="L102" s="79" t="str">
        <f>HYPERLINK("https://www.bhphotovideo.com/c/product/1242613-REG/sony_sel50f18f_fe_50mm_f_1_8_lens.html/BI/19619/KBID/12129/kw/SO5018F/DFF/d10-v2-t1-xSO5018F","link*")</f>
        <v>link*</v>
      </c>
      <c r="M102" s="79" t="str">
        <f>HYPERLINK("http://amzn.to/2wyHB25","link*")</f>
        <v>link*</v>
      </c>
      <c r="N102"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102" s="84">
        <v>45</v>
      </c>
      <c r="P102" s="70" t="s">
        <v>27</v>
      </c>
      <c r="Q102" s="74">
        <v>7</v>
      </c>
      <c r="R102" s="112">
        <v>43591</v>
      </c>
      <c r="S102" s="74" t="s">
        <v>41</v>
      </c>
      <c r="T102" s="88">
        <v>42430</v>
      </c>
    </row>
    <row r="103" spans="1:21" ht="13" hidden="1">
      <c r="A103" s="126" t="str">
        <f>HYPERLINK("https://phillipreeve.net/blog/review-zeiss-loxia-planar-250-t/","Zeiss Loxia 50mm F2")</f>
        <v>Zeiss Loxia 50mm F2</v>
      </c>
      <c r="B103" s="60">
        <v>320</v>
      </c>
      <c r="C103" s="67">
        <v>50</v>
      </c>
      <c r="D103" s="64">
        <v>2</v>
      </c>
      <c r="E103" s="194">
        <v>62</v>
      </c>
      <c r="F103" s="195">
        <v>60</v>
      </c>
      <c r="G103" s="74" t="s">
        <v>25</v>
      </c>
      <c r="H103" s="72" t="s">
        <v>131</v>
      </c>
      <c r="I103" s="74">
        <v>0.15</v>
      </c>
      <c r="J103" s="76">
        <v>949</v>
      </c>
      <c r="K103" s="79" t="str">
        <f>HYPERLINK("http://amzn.to/2faVsIu","link*")</f>
        <v>link*</v>
      </c>
      <c r="L103" s="79" t="str">
        <f>HYPERLINK("https://www.bhphotovideo.com/c/product/1080387-REG/zeiss_2103_748_loxia_50mm_f_2_planar.html/BI/19619/KBID/12129/kw/ZE502LFE/DFF/d10-v2-t1-xZE502LFE","link*")</f>
        <v>link*</v>
      </c>
      <c r="M103" s="79" t="str">
        <f>HYPERLINK("http://amzn.to/2wyJAU4","link*")</f>
        <v>link*</v>
      </c>
      <c r="N103" s="79"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O103" s="84">
        <v>45</v>
      </c>
      <c r="P103" s="70" t="s">
        <v>27</v>
      </c>
      <c r="Q103" s="74">
        <v>10</v>
      </c>
      <c r="R103" s="112">
        <v>43561</v>
      </c>
      <c r="S103" s="74" t="s">
        <v>87</v>
      </c>
      <c r="T103" s="88">
        <v>41913</v>
      </c>
      <c r="U103" s="77" t="s">
        <v>166</v>
      </c>
    </row>
    <row r="104" spans="1:21" ht="13">
      <c r="A104" s="126" t="str">
        <f>HYPERLINK("https://phillipreeve.net/blog/rolling-review-sony-fe-2-850-macro/","Sony 50mm F/2.8 Macro")</f>
        <v>Sony 50mm F/2.8 Macro</v>
      </c>
      <c r="B104" s="60">
        <v>236</v>
      </c>
      <c r="C104" s="67">
        <v>50</v>
      </c>
      <c r="D104" s="64">
        <v>1.8</v>
      </c>
      <c r="E104" s="194">
        <v>72</v>
      </c>
      <c r="F104" s="195">
        <v>71</v>
      </c>
      <c r="G104" s="74" t="s">
        <v>36</v>
      </c>
      <c r="H104" s="72" t="s">
        <v>147</v>
      </c>
      <c r="I104" s="263">
        <v>1</v>
      </c>
      <c r="J104" s="184">
        <v>499</v>
      </c>
      <c r="K104" s="79" t="str">
        <f>HYPERLINK("http://amzn.to/2v2g0qz","link*")</f>
        <v>link*</v>
      </c>
      <c r="L104" s="79" t="str">
        <f>HYPERLINK("https://www.bhphotovideo.com/c/product/1277527-REG/sony_sel50m28_fe_50mm_f_2_8_macro.html/BI/19619/KBID/12129/kw/SO5028FF/DFF/d10-v2-t1-xSO5028FF","link*")</f>
        <v>link*</v>
      </c>
      <c r="M104" s="79" t="str">
        <f>HYPERLINK("http://amzn.to/2vbknRN","link*")</f>
        <v>link*</v>
      </c>
      <c r="N104" s="79"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O104" s="84">
        <v>16</v>
      </c>
      <c r="P104" s="70" t="s">
        <v>27</v>
      </c>
      <c r="Q104" s="74">
        <v>7</v>
      </c>
      <c r="R104" s="112">
        <v>43654</v>
      </c>
      <c r="S104" s="74" t="s">
        <v>41</v>
      </c>
      <c r="T104" s="88">
        <v>42614</v>
      </c>
    </row>
    <row r="105" spans="1:21" ht="13">
      <c r="A105" s="126" t="str">
        <f>HYPERLINK("https://phillipreeve.net/blog/sony-fe-1-855-za-sonnar-t-review/","Sony ZA 55mm F1.8 Sonnar")</f>
        <v>Sony ZA 55mm F1.8 Sonnar</v>
      </c>
      <c r="B105" s="60">
        <v>281</v>
      </c>
      <c r="C105" s="67">
        <v>55</v>
      </c>
      <c r="D105" s="64">
        <v>1.8</v>
      </c>
      <c r="E105" s="194">
        <v>64</v>
      </c>
      <c r="F105" s="195">
        <v>71</v>
      </c>
      <c r="G105" s="74" t="s">
        <v>36</v>
      </c>
      <c r="H105" s="72" t="s">
        <v>124</v>
      </c>
      <c r="I105" s="74">
        <v>0.14000000000000001</v>
      </c>
      <c r="J105" s="76">
        <v>999</v>
      </c>
      <c r="K105" s="79" t="str">
        <f>HYPERLINK("https://amzn.to/2ywdgEk","link*")</f>
        <v>link*</v>
      </c>
      <c r="L105" s="79" t="str">
        <f>HYPERLINK("https://www.bhphotovideo.com/c/product/1008124-REG/sony_sel55f18z_sonnar_t_fe_55mm.html/BI/19619/KBID/12129/DFF/d10-v21-t1-x466841/SID/EZ","link*")</f>
        <v>link*</v>
      </c>
      <c r="M105" s="113" t="s">
        <v>51</v>
      </c>
      <c r="N105" s="79"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105" s="84">
        <v>50</v>
      </c>
      <c r="P105" s="70" t="s">
        <v>27</v>
      </c>
      <c r="Q105" s="74">
        <v>9</v>
      </c>
      <c r="R105" s="112">
        <v>43592</v>
      </c>
      <c r="S105" s="74" t="s">
        <v>41</v>
      </c>
      <c r="T105" s="88">
        <v>41548</v>
      </c>
    </row>
    <row r="106" spans="1:21" ht="13" hidden="1">
      <c r="A106" s="126" t="str">
        <f>HYPERLINK("https://phillipreeve.net/blog/voigtlander-65-f2-apo-macro-review/","Voigtlander Macro 65mm F2 Apo Lanthar")</f>
        <v>Voigtlander Macro 65mm F2 Apo Lanthar</v>
      </c>
      <c r="B106" s="60">
        <v>635</v>
      </c>
      <c r="C106" s="67">
        <v>65</v>
      </c>
      <c r="D106" s="64">
        <v>2</v>
      </c>
      <c r="E106" s="194">
        <v>78</v>
      </c>
      <c r="F106" s="195">
        <v>91</v>
      </c>
      <c r="G106" s="74" t="s">
        <v>25</v>
      </c>
      <c r="H106" s="72" t="s">
        <v>73</v>
      </c>
      <c r="I106" s="320">
        <v>0.5</v>
      </c>
      <c r="J106" s="76">
        <v>999</v>
      </c>
      <c r="K106" s="79" t="str">
        <f>HYPERLINK("https://amzn.to/2LU48SI","link*")</f>
        <v>link*</v>
      </c>
      <c r="L106" s="79" t="str">
        <f>HYPERLINK("https://www.bhphotovideo.com/c/product/1350400-REG/voigtlander_macro_apo_lanthar_65mm_f2.html/BI/19619/KBID/12129/DFF/d10-v21-t1-x835677/SID/EZ","link*")</f>
        <v>link*</v>
      </c>
      <c r="M106" s="113" t="s">
        <v>51</v>
      </c>
      <c r="N106" s="79"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O106" s="84">
        <v>31</v>
      </c>
      <c r="P106" s="70" t="s">
        <v>27</v>
      </c>
      <c r="Q106" s="74">
        <v>10</v>
      </c>
      <c r="R106" s="112">
        <v>43687</v>
      </c>
      <c r="S106" s="74" t="s">
        <v>29</v>
      </c>
      <c r="T106" s="290">
        <v>42917</v>
      </c>
    </row>
    <row r="107" spans="1:21" ht="13" hidden="1">
      <c r="A107" s="58" t="s">
        <v>167</v>
      </c>
      <c r="B107" s="60">
        <v>562</v>
      </c>
      <c r="C107" s="67">
        <v>70</v>
      </c>
      <c r="D107" s="64">
        <v>2.8</v>
      </c>
      <c r="E107" s="194">
        <v>71</v>
      </c>
      <c r="F107" s="195">
        <v>106</v>
      </c>
      <c r="G107" s="74" t="s">
        <v>36</v>
      </c>
      <c r="H107" s="72" t="s">
        <v>124</v>
      </c>
      <c r="I107" s="263">
        <v>1</v>
      </c>
      <c r="J107" s="241">
        <v>569</v>
      </c>
      <c r="K107" s="79" t="str">
        <f>HYPERLINK("https://amzn.to/2YGO9te","link*")</f>
        <v>link*</v>
      </c>
      <c r="L107" s="79" t="str">
        <f>HYPERLINK("https://www.bhphotovideo.com/c/product/1393483-REG/sigma_70mm_f_2_8_dg_macro.html/BI/19619/KBID/12129/DFF/d10-v21-t1-x895111/SID/EZ","link*")</f>
        <v>link*</v>
      </c>
      <c r="M107" s="113" t="s">
        <v>51</v>
      </c>
      <c r="N107" s="79" t="e">
        <f>HYPERLINK("http://rover.ebay.com/rover/1/711-53200-19255-0/1?icep_ff3=9&amp;pub=5575076376&amp;toolid=10001&amp;campid=5338164340&amp;customid=&amp;icep_uq=sigma+70+2.8+macro+sony&amp;icep_sellerId=&amp;icep_ex_kw=&amp;icep_sortBy=12&amp;icep_catId=3323&amp;icep_minPrice=&amp;icep_maxPrice=&amp;ipn=psmain&amp;icep_ve"&amp;"ctorid=229466&amp;kwid=902099&amp;mtid=824&amp;kw=lg","link*")</f>
        <v>#VALUE!</v>
      </c>
      <c r="O107" s="84">
        <v>26</v>
      </c>
      <c r="P107" s="70" t="s">
        <v>27</v>
      </c>
      <c r="Q107" s="74">
        <v>9</v>
      </c>
      <c r="R107" s="112">
        <v>43751</v>
      </c>
      <c r="S107" s="74" t="s">
        <v>47</v>
      </c>
      <c r="T107" s="88">
        <v>43221</v>
      </c>
      <c r="U107" s="77" t="s">
        <v>48</v>
      </c>
    </row>
    <row r="108" spans="1:21" ht="13">
      <c r="A108" s="58" t="s">
        <v>168</v>
      </c>
      <c r="B108" s="60">
        <v>1480</v>
      </c>
      <c r="C108" s="67">
        <v>70</v>
      </c>
      <c r="D108" s="64">
        <v>2.8</v>
      </c>
      <c r="E108" s="194">
        <v>88</v>
      </c>
      <c r="F108" s="195">
        <v>200</v>
      </c>
      <c r="G108" s="74" t="s">
        <v>36</v>
      </c>
      <c r="H108" s="72" t="s">
        <v>80</v>
      </c>
      <c r="I108" s="239">
        <v>0.25</v>
      </c>
      <c r="J108" s="76">
        <v>2599</v>
      </c>
      <c r="K108" s="79" t="str">
        <f>HYPERLINK("https://amzn.to/2KbaJGn","link*")</f>
        <v>link*</v>
      </c>
      <c r="L108" s="79" t="str">
        <f>HYPERLINK("https://www.bhphotovideo.com/c/product/1222776-REG/sony_sel70200gm_fe_70_200mm_f_2_8_gm.html/BI/19619/KBID/12129/DFF/d10-v21-t1-x746807/SID/EZ","link*")</f>
        <v>link*</v>
      </c>
      <c r="M108" s="113" t="s">
        <v>51</v>
      </c>
      <c r="N108"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108" s="84">
        <v>96</v>
      </c>
      <c r="P108" s="134" t="s">
        <v>66</v>
      </c>
      <c r="Q108" s="74">
        <v>11</v>
      </c>
      <c r="R108" s="115" t="s">
        <v>169</v>
      </c>
      <c r="S108" s="74" t="s">
        <v>41</v>
      </c>
      <c r="T108" s="88">
        <v>42401</v>
      </c>
    </row>
    <row r="109" spans="1:21" ht="13">
      <c r="A109" s="58" t="s">
        <v>170</v>
      </c>
      <c r="B109" s="60">
        <v>854</v>
      </c>
      <c r="C109" s="67">
        <v>70</v>
      </c>
      <c r="D109" s="64" t="s">
        <v>171</v>
      </c>
      <c r="E109" s="194">
        <v>84</v>
      </c>
      <c r="F109" s="195">
        <v>144</v>
      </c>
      <c r="G109" s="74" t="s">
        <v>36</v>
      </c>
      <c r="H109" s="72" t="s">
        <v>64</v>
      </c>
      <c r="I109" s="201">
        <v>0.31</v>
      </c>
      <c r="J109" s="76">
        <v>1198</v>
      </c>
      <c r="K109" s="79" t="str">
        <f>HYPERLINK("https://amzn.to/2SVN1Ao","link*")</f>
        <v>link*</v>
      </c>
      <c r="L109" s="79" t="str">
        <f>HYPERLINK("https://www.bhphotovideo.com/c/product/1242614-REG/sony_sel70300g_fe_70_300mm_f_4_5_5_6_g.html/BI/19619/KBID/12129/DFF/d10-v21-t1-x722726/SID/EZ","link*")</f>
        <v>link*</v>
      </c>
      <c r="M109" s="113" t="s">
        <v>51</v>
      </c>
      <c r="N109"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109" s="84">
        <v>90</v>
      </c>
      <c r="P109" s="134" t="s">
        <v>66</v>
      </c>
      <c r="Q109" s="74">
        <v>9</v>
      </c>
      <c r="R109" s="115" t="s">
        <v>72</v>
      </c>
      <c r="S109" s="74" t="s">
        <v>41</v>
      </c>
      <c r="T109" s="88">
        <v>42430</v>
      </c>
    </row>
    <row r="110" spans="1:21" ht="13">
      <c r="A110" s="126" t="str">
        <f>HYPERLINK("https://phillipreeve.net/blog/review-sony-fe-470-200-g-oss/https://phillipreeve.net/blog/review-sony-fe-470-200-g-oss/","Sony G 4/70-200 OSS")</f>
        <v>Sony G 4/70-200 OSS</v>
      </c>
      <c r="B110" s="60">
        <v>840</v>
      </c>
      <c r="C110" s="67">
        <v>70</v>
      </c>
      <c r="D110" s="64">
        <v>4</v>
      </c>
      <c r="E110" s="194">
        <v>80</v>
      </c>
      <c r="F110" s="195">
        <v>175</v>
      </c>
      <c r="G110" s="74" t="s">
        <v>36</v>
      </c>
      <c r="H110" s="72" t="s">
        <v>64</v>
      </c>
      <c r="I110" s="74">
        <v>0.18</v>
      </c>
      <c r="J110" s="76">
        <v>1498</v>
      </c>
      <c r="K110" s="79" t="str">
        <f>HYPERLINK("http://amzn.to/2fbeX3x","link*")</f>
        <v>link*</v>
      </c>
      <c r="L110" s="79" t="str">
        <f>HYPERLINK("https://www.bhphotovideo.com/c/product/1380865-REG/sony_fe_70_200mm_f_4_g.html/BI/19619/KBID/12129/kw/SO702004F/DFF/d10-v2-t1-xSO702004F","link*")</f>
        <v>link*</v>
      </c>
      <c r="M110" s="79" t="str">
        <f>HYPERLINK("http://amzn.to/2vbFQKj","link*")</f>
        <v>link*</v>
      </c>
      <c r="N110" s="79"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110" s="84">
        <v>100</v>
      </c>
      <c r="P110" s="134" t="s">
        <v>66</v>
      </c>
      <c r="Q110" s="74">
        <v>9</v>
      </c>
      <c r="R110" s="115" t="s">
        <v>173</v>
      </c>
      <c r="S110" s="74" t="s">
        <v>41</v>
      </c>
      <c r="T110" s="88">
        <v>41548</v>
      </c>
    </row>
    <row r="111" spans="1:21" ht="13">
      <c r="A111" s="126" t="str">
        <f>HYPERLINK("https://phillipreeve.net/blog/review-sony-fe-85mm-1-4-gm/","Sony GM 1.4/85")</f>
        <v>Sony GM 1.4/85</v>
      </c>
      <c r="B111" s="60">
        <v>854</v>
      </c>
      <c r="C111" s="67">
        <v>85</v>
      </c>
      <c r="D111" s="64">
        <v>1.4</v>
      </c>
      <c r="E111" s="194">
        <v>84</v>
      </c>
      <c r="F111" s="195">
        <v>108</v>
      </c>
      <c r="G111" s="74" t="s">
        <v>36</v>
      </c>
      <c r="H111" s="72" t="s">
        <v>80</v>
      </c>
      <c r="I111" s="74">
        <v>0.12</v>
      </c>
      <c r="J111" s="76">
        <v>1799</v>
      </c>
      <c r="K111" s="79" t="str">
        <f>HYPERLINK("https://amzn.to/2SZeKAh","link*")</f>
        <v>link*</v>
      </c>
      <c r="L111" s="79" t="str">
        <f>HYPERLINK("https://www.bhphotovideo.com/c/product/1222775-REG/sony_sel85f14gm_fe_85mm_f_1_4_gm.html/BI/19619/KBID/12129/DFF/d10-v21-t1-x707644/SID/EZ","link*")</f>
        <v>link*</v>
      </c>
      <c r="M111" s="113" t="s">
        <v>51</v>
      </c>
      <c r="N111" s="7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111" s="84">
        <v>80</v>
      </c>
      <c r="P111" s="70" t="s">
        <v>27</v>
      </c>
      <c r="Q111" s="74">
        <v>11</v>
      </c>
      <c r="R111" s="112">
        <v>43688</v>
      </c>
      <c r="S111" s="74" t="s">
        <v>41</v>
      </c>
      <c r="T111" s="88">
        <v>42401</v>
      </c>
    </row>
    <row r="112" spans="1:21" ht="13" hidden="1">
      <c r="A112" s="58" t="s">
        <v>174</v>
      </c>
      <c r="B112" s="60">
        <v>1130</v>
      </c>
      <c r="C112" s="67">
        <v>85</v>
      </c>
      <c r="D112" s="64">
        <v>1.4</v>
      </c>
      <c r="E112" s="194">
        <v>95</v>
      </c>
      <c r="F112" s="195">
        <v>152</v>
      </c>
      <c r="G112" s="74" t="s">
        <v>36</v>
      </c>
      <c r="H112" s="269" t="s">
        <v>175</v>
      </c>
      <c r="I112" s="74">
        <v>0.12</v>
      </c>
      <c r="J112" s="76">
        <v>1199</v>
      </c>
      <c r="K112" s="79" t="str">
        <f>HYPERLINK("https://amzn.to/2MBd68k","link*")</f>
        <v>link*</v>
      </c>
      <c r="L112" s="79" t="str">
        <f>HYPERLINK("https://www.bhphotovideo.com/c/product/1393494-REG/sigma_85mm_f_1_4_dg_hsm.html/BI/19619/KBID/12129/kw/SI8514SO/DFF/d10-v2-t1-xSI8514SO","link*")</f>
        <v>link*</v>
      </c>
      <c r="M112" s="79" t="str">
        <f>HYPERLINK("https://amzn.to/2Wto6JH","link*")</f>
        <v>link*</v>
      </c>
      <c r="N112" s="79"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O112" s="84">
        <v>85</v>
      </c>
      <c r="P112" s="70" t="s">
        <v>27</v>
      </c>
      <c r="Q112" s="74">
        <v>9</v>
      </c>
      <c r="R112" s="112">
        <v>43724</v>
      </c>
      <c r="S112" s="74" t="s">
        <v>47</v>
      </c>
      <c r="T112" s="88">
        <v>43221</v>
      </c>
      <c r="U112" s="77" t="s">
        <v>48</v>
      </c>
    </row>
    <row r="113" spans="1:21" ht="13" hidden="1">
      <c r="A113" s="58" t="s">
        <v>176</v>
      </c>
      <c r="B113" s="60">
        <v>568</v>
      </c>
      <c r="C113" s="67">
        <v>85</v>
      </c>
      <c r="D113" s="64">
        <v>1.4</v>
      </c>
      <c r="E113" s="194">
        <v>88</v>
      </c>
      <c r="F113" s="195">
        <v>100</v>
      </c>
      <c r="G113" s="74" t="s">
        <v>36</v>
      </c>
      <c r="H113" s="72" t="s">
        <v>80</v>
      </c>
      <c r="I113" s="74">
        <v>0.11</v>
      </c>
      <c r="J113" s="156">
        <v>699</v>
      </c>
      <c r="K113" s="79" t="str">
        <f>HYPERLINK("https://amzn.to/2T0yJ1A","link*")</f>
        <v>link*</v>
      </c>
      <c r="L113" s="79" t="str">
        <f>HYPERLINK("https://www.bhphotovideo.com/c/product/1470654-REG/samyang_syio85af_e_af_85mm_f_1_4_lens.html/BI/19619/KBID/12129/DFF/d10-v21-t1-x955078/SID/EZ","link*")</f>
        <v>link*</v>
      </c>
      <c r="M113" s="113" t="s">
        <v>51</v>
      </c>
      <c r="N113"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113" s="84">
        <v>90</v>
      </c>
      <c r="P113" s="70" t="s">
        <v>27</v>
      </c>
      <c r="Q113" s="74">
        <v>9</v>
      </c>
      <c r="R113" s="112">
        <v>43688</v>
      </c>
      <c r="S113" s="74" t="s">
        <v>38</v>
      </c>
      <c r="T113" s="88">
        <v>43586</v>
      </c>
    </row>
    <row r="114" spans="1:21" ht="13">
      <c r="A114" s="126" t="str">
        <f>HYPERLINK("https://phillipreeve.net/blog/review-sony-fe-85-mm-1-8/","Sony FE 85mm f/1.8")</f>
        <v>Sony FE 85mm f/1.8</v>
      </c>
      <c r="B114" s="60">
        <v>371</v>
      </c>
      <c r="C114" s="67">
        <v>85</v>
      </c>
      <c r="D114" s="64">
        <v>1.8</v>
      </c>
      <c r="E114" s="194">
        <v>77</v>
      </c>
      <c r="F114" s="195">
        <v>82</v>
      </c>
      <c r="G114" s="74" t="s">
        <v>36</v>
      </c>
      <c r="H114" s="72" t="s">
        <v>73</v>
      </c>
      <c r="I114" s="74">
        <v>0.13</v>
      </c>
      <c r="J114" s="156">
        <v>599</v>
      </c>
      <c r="K114" s="79" t="str">
        <f>HYPERLINK("https://amzn.to/2YB4RxU","link*")</f>
        <v>link*</v>
      </c>
      <c r="L114" s="79" t="str">
        <f t="shared" ref="L114:L115" si="2">HYPERLINK("https://www.bhphotovideo.com/c/product/1140833-REG/zeiss_2103_751_85mm_f_1_8_batis_short.html/BI/19619/KBID/12129/DFF/d10-v21-t1-x627139/SID/EZ","link*")</f>
        <v>link*</v>
      </c>
      <c r="M114" s="113" t="s">
        <v>51</v>
      </c>
      <c r="N114"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114" s="84">
        <v>80</v>
      </c>
      <c r="P114" s="70" t="s">
        <v>27</v>
      </c>
      <c r="Q114" s="74">
        <v>9</v>
      </c>
      <c r="R114" s="112">
        <v>43686</v>
      </c>
      <c r="S114" s="74" t="s">
        <v>41</v>
      </c>
      <c r="T114" s="88">
        <v>42767</v>
      </c>
    </row>
    <row r="115" spans="1:21" ht="13" hidden="1">
      <c r="A115" s="126" t="str">
        <f>HYPERLINK("https://phillipreeve.net/blog/zeiss-batis-sonnar-t-85mm-f1-8-a-review/","Zeiss Batis 1.8/85")</f>
        <v>Zeiss Batis 1.8/85</v>
      </c>
      <c r="B115" s="60">
        <v>475</v>
      </c>
      <c r="C115" s="67">
        <v>85</v>
      </c>
      <c r="D115" s="64">
        <v>1.8</v>
      </c>
      <c r="E115" s="194">
        <v>92</v>
      </c>
      <c r="F115" s="195">
        <v>81</v>
      </c>
      <c r="G115" s="74" t="s">
        <v>36</v>
      </c>
      <c r="H115" s="72" t="s">
        <v>73</v>
      </c>
      <c r="I115" s="74">
        <v>0.13</v>
      </c>
      <c r="J115" s="76">
        <v>1199</v>
      </c>
      <c r="K115" s="79" t="str">
        <f>HYPERLINK("https://amzn.to/2T8oWqt","link*")</f>
        <v>link*</v>
      </c>
      <c r="L115" s="79" t="str">
        <f t="shared" si="2"/>
        <v>link*</v>
      </c>
      <c r="M115" s="113" t="s">
        <v>51</v>
      </c>
      <c r="N115"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115" s="84">
        <v>80</v>
      </c>
      <c r="P115" s="134" t="s">
        <v>66</v>
      </c>
      <c r="Q115" s="74">
        <v>9</v>
      </c>
      <c r="R115" s="112">
        <v>43688</v>
      </c>
      <c r="S115" s="74" t="s">
        <v>87</v>
      </c>
      <c r="T115" s="88">
        <v>42125</v>
      </c>
    </row>
    <row r="116" spans="1:21" ht="13" hidden="1">
      <c r="A116" s="58" t="s">
        <v>197</v>
      </c>
      <c r="B116" s="60">
        <v>665</v>
      </c>
      <c r="C116" s="67">
        <v>85</v>
      </c>
      <c r="D116" s="64">
        <v>1.8</v>
      </c>
      <c r="E116" s="194">
        <v>79</v>
      </c>
      <c r="F116" s="195">
        <v>92</v>
      </c>
      <c r="G116" s="74" t="s">
        <v>25</v>
      </c>
      <c r="H116" s="72" t="s">
        <v>64</v>
      </c>
      <c r="I116" s="74">
        <v>0.13</v>
      </c>
      <c r="J116" s="76">
        <v>299</v>
      </c>
      <c r="K116" s="79" t="str">
        <f>HYPERLINK("https://amzn.to/2LVVOBV","link*")</f>
        <v>link*</v>
      </c>
      <c r="L116" s="79" t="str">
        <f>HYPERLINK("https://www.bhphotovideo.com/c/product/1469189-REG/viltrox_pfu_rbmh_85mm_f1_8_e_mount_85mm_f_1_8_for_sony.html/BI/19619/KBID/12129/DFF/d10-v21-t1-x954301/SID/EZ","link*")</f>
        <v>link*</v>
      </c>
      <c r="M116" s="113" t="s">
        <v>51</v>
      </c>
      <c r="N116" s="79"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O116" s="84">
        <v>80</v>
      </c>
      <c r="P116" s="70" t="s">
        <v>27</v>
      </c>
      <c r="Q116" s="74">
        <v>9</v>
      </c>
      <c r="R116" s="112">
        <v>43656</v>
      </c>
      <c r="S116" s="74" t="s">
        <v>106</v>
      </c>
      <c r="T116" s="612">
        <v>43586</v>
      </c>
      <c r="U116" s="77" t="s">
        <v>200</v>
      </c>
    </row>
    <row r="117" spans="1:21" ht="13" hidden="1">
      <c r="A117" s="58" t="s">
        <v>177</v>
      </c>
      <c r="B117" s="60">
        <v>636</v>
      </c>
      <c r="C117" s="67">
        <v>85</v>
      </c>
      <c r="D117" s="64">
        <v>1.8</v>
      </c>
      <c r="E117" s="194">
        <v>79</v>
      </c>
      <c r="F117" s="195">
        <v>92</v>
      </c>
      <c r="G117" s="74" t="s">
        <v>36</v>
      </c>
      <c r="H117" s="72" t="s">
        <v>64</v>
      </c>
      <c r="I117" s="74">
        <v>0.13</v>
      </c>
      <c r="J117" s="76">
        <v>379</v>
      </c>
      <c r="K117" s="79" t="str">
        <f>HYPERLINK("https://amzn.to/2SZfd5v","link*")</f>
        <v>link*</v>
      </c>
      <c r="L117" s="79" t="str">
        <f>HYPERLINK("https://www.bhphotovideo.com/c/product/1470585-REG/viltrox_pfu_rbmh_85mm_f1_8_stm_e_mount_85mm_f_1_8_lens_for.html/BI/19619/KBID/12129/DFF/d10-v21-t1-x955239/SID/EZ","link*")</f>
        <v>link*</v>
      </c>
      <c r="M117" s="113" t="s">
        <v>51</v>
      </c>
      <c r="N117"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117" s="84">
        <v>80</v>
      </c>
      <c r="P117" s="70" t="s">
        <v>27</v>
      </c>
      <c r="Q117" s="74">
        <v>9</v>
      </c>
      <c r="R117" s="112">
        <v>43656</v>
      </c>
      <c r="S117" s="74" t="s">
        <v>106</v>
      </c>
      <c r="T117" s="88">
        <v>43586</v>
      </c>
    </row>
    <row r="118" spans="1:21" ht="13" hidden="1">
      <c r="A118" s="126" t="str">
        <f>HYPERLINK("https://phillipreeve.net/blog/rolling-review-zeiss-loxia-85mm-2-4/","Zeiss Loxia 2.4/85")</f>
        <v>Zeiss Loxia 2.4/85</v>
      </c>
      <c r="B118" s="60">
        <v>594</v>
      </c>
      <c r="C118" s="67">
        <v>85</v>
      </c>
      <c r="D118" s="64">
        <v>2.4</v>
      </c>
      <c r="E118" s="194">
        <v>63</v>
      </c>
      <c r="F118" s="195">
        <v>95</v>
      </c>
      <c r="G118" s="74" t="s">
        <v>25</v>
      </c>
      <c r="H118" s="72" t="s">
        <v>131</v>
      </c>
      <c r="I118" s="74">
        <v>0.14000000000000001</v>
      </c>
      <c r="J118" s="76">
        <v>1399</v>
      </c>
      <c r="K118" s="79" t="str">
        <f>HYPERLINK("https://amzn.to/2SY4PLd","link*")</f>
        <v>link*</v>
      </c>
      <c r="L118" s="79" t="str">
        <f>HYPERLINK("https://www.bhphotovideo.com/c/product/1282150-REG/zeiss_2162_636_loxia_85mm_f_2_4_lens.html/BI/19619/KBID/12129/DFF/d10-v21-t1-x762761/SID/EZ","link*")</f>
        <v>link*</v>
      </c>
      <c r="M118" s="113" t="s">
        <v>51</v>
      </c>
      <c r="N118" s="79"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O118" s="84">
        <v>80</v>
      </c>
      <c r="P118" s="70" t="s">
        <v>27</v>
      </c>
      <c r="Q118" s="74">
        <v>10</v>
      </c>
      <c r="R118" s="112">
        <v>43653</v>
      </c>
      <c r="S118" s="74" t="s">
        <v>87</v>
      </c>
      <c r="T118" s="88">
        <v>42644</v>
      </c>
    </row>
    <row r="119" spans="1:21" ht="13">
      <c r="A119" s="126" t="str">
        <f>HYPERLINK("https://phillipreeve.net/blog/review-sony-fe-90mm-f2-8-macro-oss-one-of-sonys-finest/","Sony 2.8/90 G OSS")</f>
        <v>Sony 2.8/90 G OSS</v>
      </c>
      <c r="B119" s="60">
        <v>602</v>
      </c>
      <c r="C119" s="67">
        <v>90</v>
      </c>
      <c r="D119" s="64">
        <v>2.8</v>
      </c>
      <c r="E119" s="194">
        <v>79</v>
      </c>
      <c r="F119" s="195">
        <v>131</v>
      </c>
      <c r="G119" s="74" t="s">
        <v>36</v>
      </c>
      <c r="H119" s="72" t="s">
        <v>101</v>
      </c>
      <c r="I119" s="263">
        <v>1</v>
      </c>
      <c r="J119" s="76">
        <v>1099</v>
      </c>
      <c r="K119" s="79" t="str">
        <f>HYPERLINK("http://amzn.to/2fbeX3x","link*")</f>
        <v>link*</v>
      </c>
      <c r="L119" s="79" t="str">
        <f>HYPERLINK("https://www.bhphotovideo.com/c/product/1380868-REG/sony_fe_90mm_f_2_8_macro.html/BI/19619/KBID/12129/kw/SO9028F/DFF/d10-v2-t1-xSO9028F","link*")</f>
        <v>link*</v>
      </c>
      <c r="M119" s="79" t="str">
        <f>HYPERLINK("http://amzn.to/2vvvHcw","link*")</f>
        <v>link*</v>
      </c>
      <c r="N119"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119" s="84">
        <v>28</v>
      </c>
      <c r="P119" s="134" t="s">
        <v>66</v>
      </c>
      <c r="Q119" s="74">
        <v>9</v>
      </c>
      <c r="R119" s="112">
        <v>43784</v>
      </c>
      <c r="S119" s="74" t="s">
        <v>41</v>
      </c>
      <c r="T119" s="88">
        <v>42064</v>
      </c>
    </row>
    <row r="120" spans="1:21" ht="13">
      <c r="A120" s="126" t="str">
        <f>HYPERLINK("https://phillipreeve.net/blog/review-sony-fe-100-f-2-8-stf-gm-oss-lens/","Sony GM 2.8/100 STF OSS")</f>
        <v>Sony GM 2.8/100 STF OSS</v>
      </c>
      <c r="B120" s="60">
        <v>700</v>
      </c>
      <c r="C120" s="67">
        <v>100</v>
      </c>
      <c r="D120" s="64">
        <v>2.8</v>
      </c>
      <c r="E120" s="194">
        <v>85</v>
      </c>
      <c r="F120" s="195">
        <v>118</v>
      </c>
      <c r="G120" s="74" t="s">
        <v>36</v>
      </c>
      <c r="H120" s="72" t="s">
        <v>64</v>
      </c>
      <c r="I120" s="239">
        <v>0.25</v>
      </c>
      <c r="J120" s="76">
        <v>1499</v>
      </c>
      <c r="K120" s="79" t="str">
        <f>HYPERLINK("https://amzn.to/2YD8rn4","link*")</f>
        <v>link*</v>
      </c>
      <c r="L120" s="79" t="str">
        <f>HYPERLINK("https://www.bhphotovideo.com/c/product/1317561-REG/sony_sel100f28gm_fe_100mm_f_2_8_stf.html/BI/19619/KBID/12129/DFF/d10-v21-t1-x795192/SID/EZ","link*")</f>
        <v>link*</v>
      </c>
      <c r="M120" s="113" t="s">
        <v>51</v>
      </c>
      <c r="N120" s="7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120" s="84">
        <v>57</v>
      </c>
      <c r="P120" s="134" t="s">
        <v>66</v>
      </c>
      <c r="Q120" s="74">
        <v>11</v>
      </c>
      <c r="R120" s="112">
        <v>43752</v>
      </c>
      <c r="S120" s="74" t="s">
        <v>41</v>
      </c>
      <c r="T120" s="88">
        <v>42767</v>
      </c>
      <c r="U120" s="77" t="s">
        <v>178</v>
      </c>
    </row>
    <row r="121" spans="1:21" ht="13" hidden="1">
      <c r="A121" s="126" t="str">
        <f>HYPERLINK("https://phillipreeve.net/blog/review-tokina-firin-100mm-f2-8-fe-macro/","Tokina Firin 2.8/100 Macro")</f>
        <v>Tokina Firin 2.8/100 Macro</v>
      </c>
      <c r="B121" s="60">
        <v>570</v>
      </c>
      <c r="C121" s="67">
        <v>100</v>
      </c>
      <c r="D121" s="64">
        <v>2.8</v>
      </c>
      <c r="E121" s="194">
        <v>74</v>
      </c>
      <c r="F121" s="176">
        <v>123</v>
      </c>
      <c r="G121" s="74" t="s">
        <v>36</v>
      </c>
      <c r="H121" s="72" t="s">
        <v>147</v>
      </c>
      <c r="I121" s="263">
        <v>1</v>
      </c>
      <c r="J121" s="184">
        <v>599</v>
      </c>
      <c r="K121" s="79" t="str">
        <f>HYPERLINK("http://amzn.to/2fbeX3x","link*")</f>
        <v>link*</v>
      </c>
      <c r="L121" s="79" t="str">
        <f>HYPERLINK("https://www.bhphotovideo.com/c/product/1473390-REG/tokina_frn_afm100fxse_firin_100mm_f_2_8_fe.html/BI/19619/KBID/12129/kw/TO100AF/DFF/d10-v2-t1-xTO100AF","link*")</f>
        <v>link*</v>
      </c>
      <c r="M121" s="79"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N121"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121" s="84">
        <v>30</v>
      </c>
      <c r="P121" s="70" t="s">
        <v>27</v>
      </c>
      <c r="Q121" s="74">
        <v>9</v>
      </c>
      <c r="R121" s="112">
        <v>43686</v>
      </c>
      <c r="S121" s="74" t="s">
        <v>103</v>
      </c>
      <c r="T121" s="88">
        <v>43617</v>
      </c>
      <c r="U121" s="77" t="s">
        <v>48</v>
      </c>
    </row>
    <row r="122" spans="1:21" ht="13">
      <c r="A122" s="58" t="s">
        <v>179</v>
      </c>
      <c r="B122" s="60">
        <v>1395</v>
      </c>
      <c r="C122" s="67">
        <v>100</v>
      </c>
      <c r="D122" s="64" t="s">
        <v>171</v>
      </c>
      <c r="E122" s="194">
        <v>94</v>
      </c>
      <c r="F122" s="176">
        <v>205</v>
      </c>
      <c r="G122" s="74" t="s">
        <v>36</v>
      </c>
      <c r="H122" s="72" t="s">
        <v>80</v>
      </c>
      <c r="I122" s="239">
        <v>0.35</v>
      </c>
      <c r="J122" s="76">
        <v>2499</v>
      </c>
      <c r="K122" s="79" t="str">
        <f>HYPERLINK("https://amzn.to/2SZ0aZO","link*")</f>
        <v>link*</v>
      </c>
      <c r="L122" s="79" t="str">
        <f>HYPERLINK("https://www.bhphotovideo.com/c/product/1333230-REG/sony_sel100400gm_fe_100_400mm_f_4_5_5_6_gm.html/BI/19619/KBID/12129/DFF/d10-v21-t1-x817745/SID/EZ","link*")</f>
        <v>link*</v>
      </c>
      <c r="M122" s="113" t="s">
        <v>51</v>
      </c>
      <c r="N122" s="79"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122" s="84">
        <v>98</v>
      </c>
      <c r="P122" s="134" t="s">
        <v>66</v>
      </c>
      <c r="Q122" s="74">
        <v>11</v>
      </c>
      <c r="R122" s="115" t="s">
        <v>180</v>
      </c>
      <c r="S122" s="74" t="s">
        <v>41</v>
      </c>
      <c r="T122" s="88">
        <v>42826</v>
      </c>
    </row>
    <row r="123" spans="1:21" ht="13" hidden="1">
      <c r="A123" s="58" t="s">
        <v>181</v>
      </c>
      <c r="B123" s="60">
        <v>1600</v>
      </c>
      <c r="C123" s="67">
        <v>105</v>
      </c>
      <c r="D123" s="64">
        <v>1.4</v>
      </c>
      <c r="E123" s="194">
        <v>116</v>
      </c>
      <c r="F123" s="176">
        <v>132</v>
      </c>
      <c r="G123" s="74" t="s">
        <v>36</v>
      </c>
      <c r="H123" s="278" t="s">
        <v>182</v>
      </c>
      <c r="I123" s="74">
        <v>0.12</v>
      </c>
      <c r="J123" s="76">
        <v>1599</v>
      </c>
      <c r="K123" s="79" t="str">
        <f>HYPERLINK("https://amzn.to/2EWeThZ","link*")</f>
        <v>link*</v>
      </c>
      <c r="L123" s="79" t="str">
        <f>HYPERLINK("https://www.bhphotovideo.com/c/product/1393488-REG/sigma_105mm_f_1_4_dg_hsm.html/BI/19619/KBID/12129/kw/SI10514SO/DFF/d10-v2-t1-xSI10514SO","link*")</f>
        <v>link*</v>
      </c>
      <c r="M123" s="79" t="str">
        <f>HYPERLINK("https://amzn.to/2WpOvTy","link*")</f>
        <v>link*</v>
      </c>
      <c r="N123" s="79" t="e">
        <f>HYPERLINK("http://rover.ebay.com/rover/1/711-53200-19255-0/1?icep_ff3=9&amp;pub=5575076376&amp;toolid=10001&amp;campid=5338164340&amp;customid=&amp;icep_uq=sigma+art+100+1.4+sony&amp;icep_sellerId=&amp;icep_ex_kw=&amp;icep_sortBy=12&amp;icep_catId=3323&amp;icep_minPrice=&amp;icep_maxPrice=&amp;ipn=psmain&amp;icep_vec"&amp;"torid=229466&amp;kwid=902099&amp;mtid=824&amp;kw=lg","link*")</f>
        <v>#VALUE!</v>
      </c>
      <c r="O123" s="84">
        <v>100</v>
      </c>
      <c r="P123" s="70" t="s">
        <v>27</v>
      </c>
      <c r="Q123" s="74">
        <v>9</v>
      </c>
      <c r="R123" s="112">
        <v>43816</v>
      </c>
      <c r="S123" s="74" t="s">
        <v>183</v>
      </c>
      <c r="T123" s="88">
        <v>43221</v>
      </c>
      <c r="U123" s="77" t="s">
        <v>48</v>
      </c>
    </row>
    <row r="124" spans="1:21" ht="13" hidden="1">
      <c r="A124" s="126" t="str">
        <f>HYPERLINK("https://phillipreeve.net/blog/voigtlander-110mm-f2-5-apo-review/","Voigtlander 110mm F2.5 APO Macro")</f>
        <v>Voigtlander 110mm F2.5 APO Macro</v>
      </c>
      <c r="B124" s="60">
        <v>771</v>
      </c>
      <c r="C124" s="67">
        <v>110</v>
      </c>
      <c r="D124" s="64">
        <v>2.5</v>
      </c>
      <c r="E124" s="194">
        <v>78</v>
      </c>
      <c r="F124" s="195">
        <v>100</v>
      </c>
      <c r="G124" s="74" t="s">
        <v>25</v>
      </c>
      <c r="H124" s="72" t="s">
        <v>71</v>
      </c>
      <c r="I124" s="263">
        <v>1</v>
      </c>
      <c r="J124" s="76">
        <v>1099</v>
      </c>
      <c r="K124" s="79" t="str">
        <f>HYPERLINK("https://amzn.to/2SXYsrm","link*")</f>
        <v>link*</v>
      </c>
      <c r="L124" s="79" t="str">
        <f>HYPERLINK("https://www.bhphotovideo.com/c/product/1418780-REG/voigtlander_ba349a_macro_apo_lanthar_110mm_f_2_5.html/BI/19619/KBID/12129/kw/VO11025/DFF/d10-v2-t1-xVO11025","link*")</f>
        <v>link*</v>
      </c>
      <c r="M124" s="113" t="s">
        <v>51</v>
      </c>
      <c r="N124" s="79"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O124" s="84">
        <v>35</v>
      </c>
      <c r="P124" s="70" t="s">
        <v>27</v>
      </c>
      <c r="Q124" s="74">
        <v>10</v>
      </c>
      <c r="R124" s="112">
        <v>43813</v>
      </c>
      <c r="S124" s="74" t="s">
        <v>29</v>
      </c>
      <c r="T124" s="88">
        <v>43405</v>
      </c>
    </row>
    <row r="125" spans="1:21" ht="13">
      <c r="A125" s="126" t="str">
        <f>HYPERLINK("https://phillipreeve.net/blog/review-sony-fe-135mm-f1-8-gm/","Sony 1.8/135 GM")</f>
        <v>Sony 1.8/135 GM</v>
      </c>
      <c r="B125" s="60">
        <v>950</v>
      </c>
      <c r="C125" s="67">
        <v>135</v>
      </c>
      <c r="D125" s="64">
        <v>1.8</v>
      </c>
      <c r="E125" s="194">
        <v>90</v>
      </c>
      <c r="F125" s="195">
        <v>127</v>
      </c>
      <c r="G125" s="74" t="s">
        <v>36</v>
      </c>
      <c r="H125" s="236" t="s">
        <v>68</v>
      </c>
      <c r="I125" s="239">
        <v>0.25</v>
      </c>
      <c r="J125" s="76">
        <v>1899</v>
      </c>
      <c r="K125" s="79" t="str">
        <f>HYPERLINK("https://amzn.to/2WtonMJ","link*")</f>
        <v>link*</v>
      </c>
      <c r="L125" s="79" t="str">
        <f>HYPERLINK("https://www.bhphotovideo.com/c/product/1393495-REG/sigma_135mm_f_1_8_dg_hsm.html/BI/19619/KBID/12129/kw/SI13518SO/DFF/d10-v2-t1-xSI13518SO","link*")</f>
        <v>link*</v>
      </c>
      <c r="M125" s="79" t="str">
        <f>HYPERLINK("https://amzn.to/2Z9KKDE","link*")</f>
        <v>link*</v>
      </c>
      <c r="N125" s="7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125" s="84">
        <v>70</v>
      </c>
      <c r="P125" s="70" t="s">
        <v>27</v>
      </c>
      <c r="Q125" s="74">
        <v>11</v>
      </c>
      <c r="R125" s="112">
        <v>43751</v>
      </c>
      <c r="S125" s="74" t="s">
        <v>41</v>
      </c>
      <c r="T125" s="88">
        <v>43525</v>
      </c>
    </row>
    <row r="126" spans="1:21" ht="13" hidden="1">
      <c r="A126" s="58" t="s">
        <v>185</v>
      </c>
      <c r="B126" s="60">
        <v>1130</v>
      </c>
      <c r="C126" s="67">
        <v>135</v>
      </c>
      <c r="D126" s="64">
        <v>1.8</v>
      </c>
      <c r="E126" s="194">
        <v>91</v>
      </c>
      <c r="F126" s="195">
        <v>115</v>
      </c>
      <c r="G126" s="74" t="s">
        <v>36</v>
      </c>
      <c r="H126" s="236" t="s">
        <v>68</v>
      </c>
      <c r="I126" s="74">
        <v>0.2</v>
      </c>
      <c r="J126" s="184">
        <v>1399</v>
      </c>
      <c r="K126" s="79" t="str">
        <f>HYPERLINK("https://amzn.to/2yxIM4R","link*")</f>
        <v>link*</v>
      </c>
      <c r="L126" s="79" t="str">
        <f>HYPERLINK("https://www.bhphotovideo.com/c/product/1393495-REG/sigma_135mm_f_1_8_dg_hsm.html/BI/19619/KBID/12129/DFF/d10-v21-t1-x881160/SID/EZ","link*")</f>
        <v>link*</v>
      </c>
      <c r="M126" s="113" t="s">
        <v>51</v>
      </c>
      <c r="N126" s="79"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O126" s="84">
        <v>87</v>
      </c>
      <c r="P126" s="70" t="s">
        <v>27</v>
      </c>
      <c r="Q126" s="74">
        <v>9</v>
      </c>
      <c r="R126" s="112">
        <v>43751</v>
      </c>
      <c r="S126" s="74" t="s">
        <v>47</v>
      </c>
      <c r="T126" s="88">
        <v>43221</v>
      </c>
      <c r="U126" s="77" t="s">
        <v>48</v>
      </c>
    </row>
    <row r="127" spans="1:21" ht="13" hidden="1">
      <c r="A127" s="126" t="str">
        <f>HYPERLINK("https://phillipreeve.net/blog/zeiss-batis-apo-sonnar-t-135mm-f2-8/","Zeiss 2.8/135 APO")</f>
        <v>Zeiss 2.8/135 APO</v>
      </c>
      <c r="B127" s="60">
        <v>614</v>
      </c>
      <c r="C127" s="67">
        <v>135</v>
      </c>
      <c r="D127" s="64">
        <v>2.8</v>
      </c>
      <c r="E127" s="194">
        <v>99</v>
      </c>
      <c r="F127" s="195">
        <v>120</v>
      </c>
      <c r="G127" s="74" t="s">
        <v>36</v>
      </c>
      <c r="H127" s="72" t="s">
        <v>73</v>
      </c>
      <c r="I127" s="74">
        <v>0.19</v>
      </c>
      <c r="J127" s="76">
        <v>1699</v>
      </c>
      <c r="K127" s="79" t="str">
        <f>HYPERLINK("https://amzn.to/319GJA4","link*")</f>
        <v>link*</v>
      </c>
      <c r="L127" s="79" t="str">
        <f>HYPERLINK("https://www.bhphotovideo.com/c/product/1330083-REG/zeiss_2136_695_batis_135mm_f_2_8_lens.html/BI/19619/KBID/12129/DFF/d10-v21-t1-x814884/SID/EZ","link*")</f>
        <v>link*</v>
      </c>
      <c r="M127" s="113" t="s">
        <v>51</v>
      </c>
      <c r="N127" s="79"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127" s="84">
        <v>87</v>
      </c>
      <c r="P127" s="134" t="s">
        <v>66</v>
      </c>
      <c r="Q127" s="74">
        <v>9</v>
      </c>
      <c r="R127" s="112">
        <v>43783</v>
      </c>
      <c r="S127" s="74" t="s">
        <v>87</v>
      </c>
      <c r="T127" s="88">
        <v>42826</v>
      </c>
    </row>
    <row r="128" spans="1:21" ht="13">
      <c r="A128" s="58" t="s">
        <v>186</v>
      </c>
      <c r="B128" s="60">
        <v>2215</v>
      </c>
      <c r="C128" s="67">
        <v>200</v>
      </c>
      <c r="D128" s="64" t="s">
        <v>187</v>
      </c>
      <c r="E128" s="194">
        <v>112</v>
      </c>
      <c r="F128" s="195">
        <v>318</v>
      </c>
      <c r="G128" s="74" t="s">
        <v>36</v>
      </c>
      <c r="H128" s="244" t="s">
        <v>152</v>
      </c>
      <c r="I128" s="74">
        <v>0.2</v>
      </c>
      <c r="J128" s="76">
        <v>1999</v>
      </c>
      <c r="K128" s="113"/>
      <c r="L128" s="79" t="str">
        <f>HYPERLINK("https://www.bhphotovideo.com/c/product/1485540-REG/sony_sel200600g_fe_200_600mm_f_5_6_6_3_g.html/BI/19619/KBID/12129/DFF/d10-v21-t1-x968882/SID/EZ","link*")</f>
        <v>link*</v>
      </c>
      <c r="M128" s="113" t="s">
        <v>51</v>
      </c>
      <c r="N128" s="79"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O128" s="84">
        <v>240</v>
      </c>
      <c r="P128" s="134" t="s">
        <v>66</v>
      </c>
      <c r="Q128" s="74">
        <v>11</v>
      </c>
      <c r="R128" s="115" t="s">
        <v>188</v>
      </c>
      <c r="S128" s="74" t="s">
        <v>41</v>
      </c>
      <c r="T128" s="88">
        <v>43647</v>
      </c>
    </row>
    <row r="129" spans="1:20" ht="13">
      <c r="A129" s="58" t="s">
        <v>189</v>
      </c>
      <c r="B129" s="60">
        <v>2895</v>
      </c>
      <c r="C129" s="67">
        <v>400</v>
      </c>
      <c r="D129" s="64">
        <v>2.8</v>
      </c>
      <c r="E129" s="194">
        <v>158</v>
      </c>
      <c r="F129" s="195">
        <v>359</v>
      </c>
      <c r="G129" s="74" t="s">
        <v>36</v>
      </c>
      <c r="H129" s="72" t="s">
        <v>190</v>
      </c>
      <c r="I129" s="74">
        <v>0.16</v>
      </c>
      <c r="J129" s="76">
        <v>11999</v>
      </c>
      <c r="K129" s="113"/>
      <c r="L129" s="79" t="str">
        <f>HYPERLINK("https://www.bhphotovideo.com/c/product/1369634-REG/sony_fe_400mm_f_2_8_gm.html/BI/19619/KBID/12129/DFF/d10-v21-t1-x905722/SID/EZ","link*")</f>
        <v>link*</v>
      </c>
      <c r="M129" s="113" t="s">
        <v>51</v>
      </c>
      <c r="N129" s="79"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O129" s="84">
        <v>270</v>
      </c>
      <c r="P129" s="134" t="s">
        <v>66</v>
      </c>
      <c r="Q129" s="74">
        <v>11</v>
      </c>
      <c r="R129" s="115" t="s">
        <v>191</v>
      </c>
      <c r="S129" s="74" t="s">
        <v>41</v>
      </c>
      <c r="T129" s="88">
        <v>43313</v>
      </c>
    </row>
    <row r="130" spans="1:20" ht="13">
      <c r="A130" s="281" t="s">
        <v>192</v>
      </c>
      <c r="B130" s="282">
        <v>3040</v>
      </c>
      <c r="C130" s="402">
        <v>600</v>
      </c>
      <c r="D130" s="284">
        <v>4</v>
      </c>
      <c r="E130" s="194">
        <v>164</v>
      </c>
      <c r="F130" s="195">
        <v>449</v>
      </c>
      <c r="G130" s="285" t="s">
        <v>36</v>
      </c>
      <c r="H130" s="286" t="s">
        <v>26</v>
      </c>
      <c r="I130" s="285">
        <v>0.14000000000000001</v>
      </c>
      <c r="J130" s="203" t="s">
        <v>193</v>
      </c>
      <c r="K130" s="113"/>
      <c r="L130" s="79" t="str">
        <f>HYPERLINK("https://www.bhphotovideo.com/c/product/1485539-REG/sony_sel600f40gm_fe_600mm_f_4_gm.html/BI/19619/KBID/12129/DFF/d10-v21-t1-x968881/SID/EZ","link*")</f>
        <v>link*</v>
      </c>
      <c r="M130" s="113" t="s">
        <v>51</v>
      </c>
      <c r="N130" s="7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130" s="287">
        <v>451</v>
      </c>
      <c r="P130" s="134" t="s">
        <v>66</v>
      </c>
      <c r="Q130" s="285">
        <v>11</v>
      </c>
      <c r="R130" s="288" t="s">
        <v>195</v>
      </c>
      <c r="S130" s="285" t="s">
        <v>41</v>
      </c>
      <c r="T130" s="289">
        <v>43678</v>
      </c>
    </row>
    <row r="131" spans="1:20" ht="13">
      <c r="A131" s="207"/>
      <c r="H131" s="226"/>
      <c r="K131" s="214"/>
      <c r="L131" s="214"/>
      <c r="M131" s="214"/>
      <c r="N131" s="214"/>
    </row>
    <row r="132" spans="1:20" ht="13">
      <c r="A132" s="207"/>
      <c r="H132" s="226"/>
      <c r="K132" s="214"/>
      <c r="L132" s="214"/>
      <c r="M132" s="214"/>
      <c r="N132" s="214"/>
    </row>
    <row r="133" spans="1:20" ht="13">
      <c r="A133" s="207"/>
      <c r="H133" s="226"/>
      <c r="K133" s="214"/>
      <c r="L133" s="214"/>
      <c r="M133" s="214"/>
      <c r="N133" s="214"/>
    </row>
    <row r="134" spans="1:20" ht="13">
      <c r="A134" s="233"/>
      <c r="H134" s="226"/>
      <c r="K134" s="214"/>
      <c r="L134" s="214"/>
      <c r="M134" s="214"/>
      <c r="N134" s="214"/>
    </row>
    <row r="135" spans="1:20" ht="13">
      <c r="A135" s="207"/>
      <c r="H135" s="226"/>
      <c r="K135" s="214"/>
      <c r="L135" s="214"/>
      <c r="M135" s="214"/>
      <c r="N135" s="214"/>
    </row>
    <row r="136" spans="1:20" ht="13">
      <c r="A136" s="207"/>
      <c r="H136" s="226"/>
      <c r="K136" s="214"/>
      <c r="L136" s="214"/>
      <c r="M136" s="214"/>
      <c r="N136" s="214"/>
    </row>
    <row r="137" spans="1:20" ht="13">
      <c r="A137" s="233"/>
      <c r="H137" s="226"/>
      <c r="K137" s="214"/>
      <c r="L137" s="214"/>
      <c r="M137" s="214"/>
      <c r="N137" s="214"/>
    </row>
    <row r="138" spans="1:20" ht="13">
      <c r="A138" s="207"/>
      <c r="H138" s="226"/>
      <c r="K138" s="214"/>
      <c r="L138" s="214"/>
      <c r="M138" s="214"/>
      <c r="N138" s="214"/>
    </row>
    <row r="139" spans="1:20" ht="13">
      <c r="A139" s="207"/>
      <c r="H139" s="226"/>
      <c r="K139" s="214"/>
      <c r="L139" s="214"/>
      <c r="M139" s="214"/>
      <c r="N139" s="214"/>
    </row>
    <row r="140" spans="1:20" ht="13">
      <c r="A140" s="207"/>
      <c r="H140" s="226"/>
      <c r="K140" s="214"/>
      <c r="L140" s="214"/>
      <c r="M140" s="214"/>
      <c r="N140" s="214"/>
    </row>
    <row r="141" spans="1:20" ht="13">
      <c r="A141" s="207"/>
      <c r="H141" s="226"/>
      <c r="K141" s="214"/>
      <c r="L141" s="214"/>
      <c r="M141" s="214"/>
      <c r="N141" s="214"/>
    </row>
    <row r="142" spans="1:20" ht="13">
      <c r="A142" s="207"/>
      <c r="H142" s="226"/>
      <c r="K142" s="214"/>
      <c r="L142" s="214"/>
      <c r="M142" s="214"/>
      <c r="N142" s="214"/>
    </row>
    <row r="143" spans="1:20" ht="13">
      <c r="A143" s="207"/>
      <c r="H143" s="226"/>
      <c r="K143" s="214"/>
      <c r="L143" s="214"/>
      <c r="M143" s="214"/>
      <c r="N143" s="214"/>
    </row>
    <row r="144" spans="1:20" ht="13">
      <c r="A144" s="207"/>
      <c r="H144" s="226"/>
      <c r="K144" s="214"/>
      <c r="L144" s="214"/>
      <c r="M144" s="214"/>
      <c r="N144" s="214"/>
    </row>
    <row r="145" spans="1:14" ht="13">
      <c r="A145" s="207"/>
      <c r="H145" s="226"/>
      <c r="K145" s="214"/>
      <c r="L145" s="214"/>
      <c r="M145" s="214"/>
      <c r="N145" s="214"/>
    </row>
    <row r="146" spans="1:14" ht="13">
      <c r="A146" s="207"/>
      <c r="H146" s="226"/>
      <c r="K146" s="214"/>
      <c r="L146" s="214"/>
      <c r="M146" s="214"/>
      <c r="N146" s="214"/>
    </row>
    <row r="147" spans="1:14" ht="13">
      <c r="A147" s="233"/>
      <c r="H147" s="226"/>
      <c r="K147" s="214"/>
      <c r="L147" s="214"/>
      <c r="M147" s="214"/>
      <c r="N147" s="214"/>
    </row>
    <row r="148" spans="1:14" ht="13">
      <c r="A148" s="233"/>
      <c r="H148" s="226"/>
      <c r="K148" s="214"/>
      <c r="L148" s="214"/>
      <c r="M148" s="214"/>
      <c r="N148" s="214"/>
    </row>
    <row r="149" spans="1:14" ht="13">
      <c r="H149" s="226"/>
      <c r="K149" s="214"/>
      <c r="L149" s="214"/>
      <c r="M149" s="214"/>
      <c r="N149" s="214"/>
    </row>
    <row r="150" spans="1:14" ht="13">
      <c r="H150" s="226"/>
      <c r="K150" s="214"/>
      <c r="L150" s="214"/>
      <c r="M150" s="214"/>
      <c r="N150" s="214"/>
    </row>
    <row r="151" spans="1:14" ht="13">
      <c r="H151" s="226"/>
      <c r="K151" s="214"/>
      <c r="L151" s="214"/>
      <c r="M151" s="214"/>
      <c r="N151" s="214"/>
    </row>
    <row r="152" spans="1:14" ht="13">
      <c r="H152" s="226"/>
      <c r="K152" s="214"/>
      <c r="L152" s="214"/>
      <c r="M152" s="214"/>
      <c r="N152" s="214"/>
    </row>
    <row r="153" spans="1:14" ht="13">
      <c r="H153" s="226"/>
    </row>
    <row r="154" spans="1:14" ht="13">
      <c r="H154" s="226"/>
    </row>
    <row r="155" spans="1:14" ht="13">
      <c r="H155" s="226"/>
    </row>
    <row r="156" spans="1:14" ht="13">
      <c r="H156" s="226"/>
    </row>
    <row r="157" spans="1:14" ht="13">
      <c r="H157" s="226"/>
    </row>
    <row r="158" spans="1:14" ht="13">
      <c r="H158" s="226"/>
    </row>
    <row r="159" spans="1:14" ht="13">
      <c r="H159" s="226"/>
    </row>
    <row r="160" spans="1:14" ht="13">
      <c r="H160" s="226"/>
    </row>
    <row r="161" spans="8:8" ht="13">
      <c r="H161" s="226"/>
    </row>
    <row r="162" spans="8:8" ht="13">
      <c r="H162" s="226"/>
    </row>
    <row r="163" spans="8:8" ht="13">
      <c r="H163" s="226"/>
    </row>
    <row r="164" spans="8:8" ht="13">
      <c r="H164" s="226"/>
    </row>
    <row r="165" spans="8:8" ht="13">
      <c r="H165" s="226"/>
    </row>
    <row r="166" spans="8:8" ht="13">
      <c r="H166" s="226"/>
    </row>
    <row r="167" spans="8:8" ht="13">
      <c r="H167" s="226"/>
    </row>
    <row r="168" spans="8:8" ht="13">
      <c r="H168" s="226"/>
    </row>
    <row r="169" spans="8:8" ht="13">
      <c r="H169" s="226"/>
    </row>
    <row r="170" spans="8:8" ht="13">
      <c r="H170" s="226"/>
    </row>
    <row r="171" spans="8:8" ht="13">
      <c r="H171" s="226"/>
    </row>
    <row r="172" spans="8:8" ht="13">
      <c r="H172" s="226"/>
    </row>
    <row r="173" spans="8:8" ht="13">
      <c r="H173" s="226"/>
    </row>
    <row r="174" spans="8:8" ht="13">
      <c r="H174" s="226"/>
    </row>
    <row r="175" spans="8:8" ht="13">
      <c r="H175" s="226"/>
    </row>
    <row r="176" spans="8:8" ht="13">
      <c r="H176" s="226"/>
    </row>
    <row r="177" spans="8:8" ht="13">
      <c r="H177" s="226"/>
    </row>
    <row r="178" spans="8:8" ht="13">
      <c r="H178" s="226"/>
    </row>
    <row r="179" spans="8:8" ht="13">
      <c r="H179" s="226"/>
    </row>
    <row r="180" spans="8:8" ht="13">
      <c r="H180" s="226"/>
    </row>
    <row r="181" spans="8:8" ht="13">
      <c r="H181" s="226"/>
    </row>
    <row r="182" spans="8:8" ht="13">
      <c r="H182" s="226"/>
    </row>
    <row r="183" spans="8:8" ht="13">
      <c r="H183" s="226"/>
    </row>
    <row r="184" spans="8:8" ht="13">
      <c r="H184" s="226"/>
    </row>
    <row r="185" spans="8:8" ht="13">
      <c r="H185" s="226"/>
    </row>
    <row r="186" spans="8:8" ht="13">
      <c r="H186" s="226"/>
    </row>
    <row r="187" spans="8:8" ht="13">
      <c r="H187" s="226"/>
    </row>
    <row r="188" spans="8:8" ht="13">
      <c r="H188" s="226"/>
    </row>
    <row r="189" spans="8:8" ht="13">
      <c r="H189" s="226"/>
    </row>
    <row r="190" spans="8:8" ht="13">
      <c r="H190" s="226"/>
    </row>
    <row r="191" spans="8:8" ht="13">
      <c r="H191" s="226"/>
    </row>
    <row r="192" spans="8:8" ht="13">
      <c r="H192" s="226"/>
    </row>
    <row r="193" spans="8:8" ht="13">
      <c r="H193" s="226"/>
    </row>
    <row r="194" spans="8:8" ht="13">
      <c r="H194" s="226"/>
    </row>
    <row r="195" spans="8:8" ht="13">
      <c r="H195" s="226"/>
    </row>
    <row r="196" spans="8:8" ht="13">
      <c r="H196" s="226"/>
    </row>
    <row r="197" spans="8:8" ht="13">
      <c r="H197" s="226"/>
    </row>
    <row r="198" spans="8:8" ht="13">
      <c r="H198" s="226"/>
    </row>
    <row r="199" spans="8:8" ht="13">
      <c r="H199" s="226"/>
    </row>
    <row r="200" spans="8:8" ht="13">
      <c r="H200" s="226"/>
    </row>
    <row r="201" spans="8:8" ht="13">
      <c r="H201" s="226"/>
    </row>
    <row r="202" spans="8:8" ht="13">
      <c r="H202" s="226"/>
    </row>
    <row r="203" spans="8:8" ht="13">
      <c r="H203" s="226"/>
    </row>
    <row r="204" spans="8:8" ht="13">
      <c r="H204" s="226"/>
    </row>
    <row r="205" spans="8:8" ht="13">
      <c r="H205" s="226"/>
    </row>
    <row r="206" spans="8:8" ht="13">
      <c r="H206" s="226"/>
    </row>
    <row r="207" spans="8:8" ht="13">
      <c r="H207" s="226"/>
    </row>
    <row r="208" spans="8:8" ht="13">
      <c r="H208" s="226"/>
    </row>
    <row r="209" spans="8:8" ht="13">
      <c r="H209" s="226"/>
    </row>
    <row r="210" spans="8:8" ht="13">
      <c r="H210" s="226"/>
    </row>
    <row r="211" spans="8:8" ht="13">
      <c r="H211" s="226"/>
    </row>
    <row r="212" spans="8:8" ht="13">
      <c r="H212" s="226"/>
    </row>
    <row r="213" spans="8:8" ht="13">
      <c r="H213" s="226"/>
    </row>
    <row r="214" spans="8:8" ht="13">
      <c r="H214" s="226"/>
    </row>
    <row r="215" spans="8:8" ht="13">
      <c r="H215" s="226"/>
    </row>
    <row r="216" spans="8:8" ht="13">
      <c r="H216" s="226"/>
    </row>
    <row r="217" spans="8:8" ht="13">
      <c r="H217" s="226"/>
    </row>
    <row r="218" spans="8:8" ht="13">
      <c r="H218" s="226"/>
    </row>
    <row r="219" spans="8:8" ht="13">
      <c r="H219" s="226"/>
    </row>
    <row r="220" spans="8:8" ht="13">
      <c r="H220" s="226"/>
    </row>
    <row r="221" spans="8:8" ht="13">
      <c r="H221" s="226"/>
    </row>
    <row r="222" spans="8:8" ht="13">
      <c r="H222" s="226"/>
    </row>
    <row r="223" spans="8:8" ht="13">
      <c r="H223" s="226"/>
    </row>
    <row r="224" spans="8:8" ht="13">
      <c r="H224" s="226"/>
    </row>
    <row r="225" spans="8:8" ht="13">
      <c r="H225" s="226"/>
    </row>
    <row r="226" spans="8:8" ht="13">
      <c r="H226" s="226"/>
    </row>
    <row r="227" spans="8:8" ht="13">
      <c r="H227" s="226"/>
    </row>
    <row r="228" spans="8:8" ht="13">
      <c r="H228" s="226"/>
    </row>
    <row r="229" spans="8:8" ht="13">
      <c r="H229" s="226"/>
    </row>
    <row r="230" spans="8:8" ht="13">
      <c r="H230" s="226"/>
    </row>
    <row r="231" spans="8:8" ht="13">
      <c r="H231" s="226"/>
    </row>
    <row r="232" spans="8:8" ht="13">
      <c r="H232" s="226"/>
    </row>
    <row r="233" spans="8:8" ht="13">
      <c r="H233" s="226"/>
    </row>
    <row r="234" spans="8:8" ht="13">
      <c r="H234" s="226"/>
    </row>
    <row r="235" spans="8:8" ht="13">
      <c r="H235" s="226"/>
    </row>
    <row r="236" spans="8:8" ht="13">
      <c r="H236" s="226"/>
    </row>
    <row r="237" spans="8:8" ht="13">
      <c r="H237" s="226"/>
    </row>
    <row r="238" spans="8:8" ht="13">
      <c r="H238" s="226"/>
    </row>
    <row r="239" spans="8:8" ht="13">
      <c r="H239" s="226"/>
    </row>
    <row r="240" spans="8:8" ht="13">
      <c r="H240" s="226"/>
    </row>
    <row r="241" spans="8:8" ht="13">
      <c r="H241" s="226"/>
    </row>
    <row r="242" spans="8:8" ht="13">
      <c r="H242" s="226"/>
    </row>
    <row r="243" spans="8:8" ht="13">
      <c r="H243" s="226"/>
    </row>
    <row r="244" spans="8:8" ht="13">
      <c r="H244" s="226"/>
    </row>
    <row r="245" spans="8:8" ht="13">
      <c r="H245" s="226"/>
    </row>
    <row r="246" spans="8:8" ht="13">
      <c r="H246" s="226"/>
    </row>
    <row r="247" spans="8:8" ht="13">
      <c r="H247" s="226"/>
    </row>
    <row r="248" spans="8:8" ht="13">
      <c r="H248" s="226"/>
    </row>
    <row r="249" spans="8:8" ht="13">
      <c r="H249" s="226"/>
    </row>
    <row r="250" spans="8:8" ht="13">
      <c r="H250" s="226"/>
    </row>
    <row r="251" spans="8:8" ht="13">
      <c r="H251" s="226"/>
    </row>
    <row r="252" spans="8:8" ht="13">
      <c r="H252" s="226"/>
    </row>
    <row r="253" spans="8:8" ht="13">
      <c r="H253" s="226"/>
    </row>
    <row r="254" spans="8:8" ht="13">
      <c r="H254" s="226"/>
    </row>
    <row r="255" spans="8:8" ht="13">
      <c r="H255" s="226"/>
    </row>
    <row r="256" spans="8:8" ht="13">
      <c r="H256" s="226"/>
    </row>
    <row r="257" spans="8:8" ht="13">
      <c r="H257" s="226"/>
    </row>
    <row r="258" spans="8:8" ht="13">
      <c r="H258" s="226"/>
    </row>
    <row r="259" spans="8:8" ht="13">
      <c r="H259" s="226"/>
    </row>
    <row r="260" spans="8:8" ht="13">
      <c r="H260" s="226"/>
    </row>
    <row r="261" spans="8:8" ht="13">
      <c r="H261" s="226"/>
    </row>
    <row r="262" spans="8:8" ht="13">
      <c r="H262" s="226"/>
    </row>
    <row r="263" spans="8:8" ht="13">
      <c r="H263" s="226"/>
    </row>
    <row r="264" spans="8:8" ht="13">
      <c r="H264" s="226"/>
    </row>
    <row r="265" spans="8:8" ht="13">
      <c r="H265" s="226"/>
    </row>
    <row r="266" spans="8:8" ht="13">
      <c r="H266" s="226"/>
    </row>
    <row r="267" spans="8:8" ht="13">
      <c r="H267" s="226"/>
    </row>
    <row r="268" spans="8:8" ht="13">
      <c r="H268" s="226"/>
    </row>
    <row r="269" spans="8:8" ht="13">
      <c r="H269" s="226"/>
    </row>
    <row r="270" spans="8:8" ht="13">
      <c r="H270" s="226"/>
    </row>
    <row r="271" spans="8:8" ht="13">
      <c r="H271" s="226"/>
    </row>
    <row r="272" spans="8:8" ht="13">
      <c r="H272" s="226"/>
    </row>
    <row r="273" spans="8:8" ht="13">
      <c r="H273" s="226"/>
    </row>
    <row r="274" spans="8:8" ht="13">
      <c r="H274" s="226"/>
    </row>
    <row r="275" spans="8:8" ht="13">
      <c r="H275" s="226"/>
    </row>
    <row r="276" spans="8:8" ht="13">
      <c r="H276" s="226"/>
    </row>
    <row r="277" spans="8:8" ht="13">
      <c r="H277" s="226"/>
    </row>
    <row r="278" spans="8:8" ht="13">
      <c r="H278" s="226"/>
    </row>
    <row r="279" spans="8:8" ht="13">
      <c r="H279" s="226"/>
    </row>
    <row r="280" spans="8:8" ht="13">
      <c r="H280" s="226"/>
    </row>
    <row r="281" spans="8:8" ht="13">
      <c r="H281" s="226"/>
    </row>
    <row r="282" spans="8:8" ht="13">
      <c r="H282" s="226"/>
    </row>
    <row r="283" spans="8:8" ht="13">
      <c r="H283" s="226"/>
    </row>
    <row r="284" spans="8:8" ht="13">
      <c r="H284" s="226"/>
    </row>
    <row r="285" spans="8:8" ht="13">
      <c r="H285" s="226"/>
    </row>
    <row r="286" spans="8:8" ht="13">
      <c r="H286" s="226"/>
    </row>
    <row r="287" spans="8:8" ht="13">
      <c r="H287" s="226"/>
    </row>
    <row r="288" spans="8:8" ht="13">
      <c r="H288" s="226"/>
    </row>
    <row r="289" spans="8:8" ht="13">
      <c r="H289" s="226"/>
    </row>
    <row r="290" spans="8:8" ht="13">
      <c r="H290" s="226"/>
    </row>
    <row r="291" spans="8:8" ht="13">
      <c r="H291" s="226"/>
    </row>
    <row r="292" spans="8:8" ht="13">
      <c r="H292" s="226"/>
    </row>
    <row r="293" spans="8:8" ht="13">
      <c r="H293" s="226"/>
    </row>
    <row r="294" spans="8:8" ht="13">
      <c r="H294" s="226"/>
    </row>
    <row r="295" spans="8:8" ht="13">
      <c r="H295" s="226"/>
    </row>
    <row r="296" spans="8:8" ht="13">
      <c r="H296" s="226"/>
    </row>
    <row r="297" spans="8:8" ht="13">
      <c r="H297" s="226"/>
    </row>
    <row r="298" spans="8:8" ht="13">
      <c r="H298" s="226"/>
    </row>
    <row r="299" spans="8:8" ht="13">
      <c r="H299" s="226"/>
    </row>
    <row r="300" spans="8:8" ht="13">
      <c r="H300" s="226"/>
    </row>
    <row r="301" spans="8:8" ht="13">
      <c r="H301" s="226"/>
    </row>
    <row r="302" spans="8:8" ht="13">
      <c r="H302" s="226"/>
    </row>
    <row r="303" spans="8:8" ht="13">
      <c r="H303" s="226"/>
    </row>
    <row r="304" spans="8:8" ht="13">
      <c r="H304" s="226"/>
    </row>
    <row r="305" spans="8:8" ht="13">
      <c r="H305" s="226"/>
    </row>
    <row r="306" spans="8:8" ht="13">
      <c r="H306" s="226"/>
    </row>
    <row r="307" spans="8:8" ht="13">
      <c r="H307" s="226"/>
    </row>
    <row r="308" spans="8:8" ht="13">
      <c r="H308" s="226"/>
    </row>
    <row r="309" spans="8:8" ht="13">
      <c r="H309" s="226"/>
    </row>
    <row r="310" spans="8:8" ht="13">
      <c r="H310" s="226"/>
    </row>
    <row r="311" spans="8:8" ht="13">
      <c r="H311" s="226"/>
    </row>
    <row r="312" spans="8:8" ht="13">
      <c r="H312" s="226"/>
    </row>
    <row r="313" spans="8:8" ht="13">
      <c r="H313" s="226"/>
    </row>
    <row r="314" spans="8:8" ht="13">
      <c r="H314" s="226"/>
    </row>
    <row r="315" spans="8:8" ht="13">
      <c r="H315" s="226"/>
    </row>
    <row r="316" spans="8:8" ht="13">
      <c r="H316" s="226"/>
    </row>
    <row r="317" spans="8:8" ht="13">
      <c r="H317" s="226"/>
    </row>
    <row r="318" spans="8:8" ht="13">
      <c r="H318" s="226"/>
    </row>
    <row r="319" spans="8:8" ht="13">
      <c r="H319" s="226"/>
    </row>
    <row r="320" spans="8:8" ht="13">
      <c r="H320" s="226"/>
    </row>
    <row r="321" spans="8:8" ht="13">
      <c r="H321" s="226"/>
    </row>
    <row r="322" spans="8:8" ht="13">
      <c r="H322" s="226"/>
    </row>
    <row r="323" spans="8:8" ht="13">
      <c r="H323" s="226"/>
    </row>
    <row r="324" spans="8:8" ht="13">
      <c r="H324" s="226"/>
    </row>
    <row r="325" spans="8:8" ht="13">
      <c r="H325" s="226"/>
    </row>
    <row r="326" spans="8:8" ht="13">
      <c r="H326" s="226"/>
    </row>
    <row r="327" spans="8:8" ht="13">
      <c r="H327" s="226"/>
    </row>
    <row r="328" spans="8:8" ht="13">
      <c r="H328" s="226"/>
    </row>
    <row r="329" spans="8:8" ht="13">
      <c r="H329" s="226"/>
    </row>
    <row r="330" spans="8:8" ht="13">
      <c r="H330" s="226"/>
    </row>
    <row r="331" spans="8:8" ht="13">
      <c r="H331" s="226"/>
    </row>
    <row r="332" spans="8:8" ht="13">
      <c r="H332" s="226"/>
    </row>
    <row r="333" spans="8:8" ht="13">
      <c r="H333" s="226"/>
    </row>
    <row r="334" spans="8:8" ht="13">
      <c r="H334" s="226"/>
    </row>
    <row r="335" spans="8:8" ht="13">
      <c r="H335" s="226"/>
    </row>
    <row r="336" spans="8:8" ht="13">
      <c r="H336" s="226"/>
    </row>
    <row r="337" spans="8:8" ht="13">
      <c r="H337" s="226"/>
    </row>
    <row r="338" spans="8:8" ht="13">
      <c r="H338" s="226"/>
    </row>
    <row r="339" spans="8:8" ht="13">
      <c r="H339" s="226"/>
    </row>
    <row r="340" spans="8:8" ht="13">
      <c r="H340" s="226"/>
    </row>
    <row r="341" spans="8:8" ht="13">
      <c r="H341" s="226"/>
    </row>
    <row r="342" spans="8:8" ht="13">
      <c r="H342" s="226"/>
    </row>
    <row r="343" spans="8:8" ht="13">
      <c r="H343" s="226"/>
    </row>
    <row r="344" spans="8:8" ht="13">
      <c r="H344" s="226"/>
    </row>
    <row r="345" spans="8:8" ht="13">
      <c r="H345" s="226"/>
    </row>
    <row r="346" spans="8:8" ht="13">
      <c r="H346" s="226"/>
    </row>
    <row r="347" spans="8:8" ht="13">
      <c r="H347" s="226"/>
    </row>
    <row r="348" spans="8:8" ht="13">
      <c r="H348" s="226"/>
    </row>
    <row r="349" spans="8:8" ht="13">
      <c r="H349" s="226"/>
    </row>
    <row r="350" spans="8:8" ht="13">
      <c r="H350" s="226"/>
    </row>
    <row r="351" spans="8:8" ht="13">
      <c r="H351" s="226"/>
    </row>
    <row r="352" spans="8:8" ht="13">
      <c r="H352" s="226"/>
    </row>
    <row r="353" spans="8:8" ht="13">
      <c r="H353" s="226"/>
    </row>
    <row r="354" spans="8:8" ht="13">
      <c r="H354" s="226"/>
    </row>
    <row r="355" spans="8:8" ht="13">
      <c r="H355" s="226"/>
    </row>
    <row r="356" spans="8:8" ht="13">
      <c r="H356" s="226"/>
    </row>
    <row r="357" spans="8:8" ht="13">
      <c r="H357" s="226"/>
    </row>
    <row r="358" spans="8:8" ht="13">
      <c r="H358" s="226"/>
    </row>
    <row r="359" spans="8:8" ht="13">
      <c r="H359" s="226"/>
    </row>
    <row r="360" spans="8:8" ht="13">
      <c r="H360" s="226"/>
    </row>
    <row r="361" spans="8:8" ht="13">
      <c r="H361" s="226"/>
    </row>
    <row r="362" spans="8:8" ht="13">
      <c r="H362" s="226"/>
    </row>
    <row r="363" spans="8:8" ht="13">
      <c r="H363" s="226"/>
    </row>
    <row r="364" spans="8:8" ht="13">
      <c r="H364" s="226"/>
    </row>
    <row r="365" spans="8:8" ht="13">
      <c r="H365" s="226"/>
    </row>
    <row r="366" spans="8:8" ht="13">
      <c r="H366" s="226"/>
    </row>
    <row r="367" spans="8:8" ht="13">
      <c r="H367" s="226"/>
    </row>
    <row r="368" spans="8:8" ht="13">
      <c r="H368" s="226"/>
    </row>
    <row r="369" spans="8:8" ht="13">
      <c r="H369" s="226"/>
    </row>
    <row r="370" spans="8:8" ht="13">
      <c r="H370" s="226"/>
    </row>
    <row r="371" spans="8:8" ht="13">
      <c r="H371" s="226"/>
    </row>
    <row r="372" spans="8:8" ht="13">
      <c r="H372" s="226"/>
    </row>
    <row r="373" spans="8:8" ht="13">
      <c r="H373" s="226"/>
    </row>
    <row r="374" spans="8:8" ht="13">
      <c r="H374" s="226"/>
    </row>
    <row r="375" spans="8:8" ht="13">
      <c r="H375" s="226"/>
    </row>
    <row r="376" spans="8:8" ht="13">
      <c r="H376" s="226"/>
    </row>
    <row r="377" spans="8:8" ht="13">
      <c r="H377" s="226"/>
    </row>
    <row r="378" spans="8:8" ht="13">
      <c r="H378" s="226"/>
    </row>
    <row r="379" spans="8:8" ht="13">
      <c r="H379" s="226"/>
    </row>
    <row r="380" spans="8:8" ht="13">
      <c r="H380" s="226"/>
    </row>
    <row r="381" spans="8:8" ht="13">
      <c r="H381" s="226"/>
    </row>
    <row r="382" spans="8:8" ht="13">
      <c r="H382" s="226"/>
    </row>
    <row r="383" spans="8:8" ht="13">
      <c r="H383" s="226"/>
    </row>
    <row r="384" spans="8:8" ht="13">
      <c r="H384" s="226"/>
    </row>
    <row r="385" spans="8:8" ht="13">
      <c r="H385" s="226"/>
    </row>
    <row r="386" spans="8:8" ht="13">
      <c r="H386" s="226"/>
    </row>
    <row r="387" spans="8:8" ht="13">
      <c r="H387" s="226"/>
    </row>
    <row r="388" spans="8:8" ht="13">
      <c r="H388" s="226"/>
    </row>
    <row r="389" spans="8:8" ht="13">
      <c r="H389" s="226"/>
    </row>
    <row r="390" spans="8:8" ht="13">
      <c r="H390" s="226"/>
    </row>
    <row r="391" spans="8:8" ht="13">
      <c r="H391" s="226"/>
    </row>
    <row r="392" spans="8:8" ht="13">
      <c r="H392" s="226"/>
    </row>
    <row r="393" spans="8:8" ht="13">
      <c r="H393" s="226"/>
    </row>
    <row r="394" spans="8:8" ht="13">
      <c r="H394" s="226"/>
    </row>
    <row r="395" spans="8:8" ht="13">
      <c r="H395" s="226"/>
    </row>
    <row r="396" spans="8:8" ht="13">
      <c r="H396" s="226"/>
    </row>
    <row r="397" spans="8:8" ht="13">
      <c r="H397" s="226"/>
    </row>
    <row r="398" spans="8:8" ht="13">
      <c r="H398" s="226"/>
    </row>
    <row r="399" spans="8:8" ht="13">
      <c r="H399" s="226"/>
    </row>
    <row r="400" spans="8:8" ht="13">
      <c r="H400" s="226"/>
    </row>
    <row r="401" spans="8:8" ht="13">
      <c r="H401" s="226"/>
    </row>
    <row r="402" spans="8:8" ht="13">
      <c r="H402" s="226"/>
    </row>
    <row r="403" spans="8:8" ht="13">
      <c r="H403" s="226"/>
    </row>
    <row r="404" spans="8:8" ht="13">
      <c r="H404" s="226"/>
    </row>
    <row r="405" spans="8:8" ht="13">
      <c r="H405" s="226"/>
    </row>
    <row r="406" spans="8:8" ht="13">
      <c r="H406" s="226"/>
    </row>
    <row r="407" spans="8:8" ht="13">
      <c r="H407" s="226"/>
    </row>
    <row r="408" spans="8:8" ht="13">
      <c r="H408" s="226"/>
    </row>
    <row r="409" spans="8:8" ht="13">
      <c r="H409" s="226"/>
    </row>
    <row r="410" spans="8:8" ht="13">
      <c r="H410" s="226"/>
    </row>
    <row r="411" spans="8:8" ht="13">
      <c r="H411" s="226"/>
    </row>
    <row r="412" spans="8:8" ht="13">
      <c r="H412" s="226"/>
    </row>
    <row r="413" spans="8:8" ht="13">
      <c r="H413" s="226"/>
    </row>
    <row r="414" spans="8:8" ht="13">
      <c r="H414" s="226"/>
    </row>
    <row r="415" spans="8:8" ht="13">
      <c r="H415" s="226"/>
    </row>
    <row r="416" spans="8:8" ht="13">
      <c r="H416" s="226"/>
    </row>
    <row r="417" spans="8:8" ht="13">
      <c r="H417" s="226"/>
    </row>
    <row r="418" spans="8:8" ht="13">
      <c r="H418" s="226"/>
    </row>
    <row r="419" spans="8:8" ht="13">
      <c r="H419" s="226"/>
    </row>
    <row r="420" spans="8:8" ht="13">
      <c r="H420" s="226"/>
    </row>
    <row r="421" spans="8:8" ht="13">
      <c r="H421" s="226"/>
    </row>
    <row r="422" spans="8:8" ht="13">
      <c r="H422" s="226"/>
    </row>
    <row r="423" spans="8:8" ht="13">
      <c r="H423" s="226"/>
    </row>
    <row r="424" spans="8:8" ht="13">
      <c r="H424" s="226"/>
    </row>
    <row r="425" spans="8:8" ht="13">
      <c r="H425" s="226"/>
    </row>
    <row r="426" spans="8:8" ht="13">
      <c r="H426" s="226"/>
    </row>
    <row r="427" spans="8:8" ht="13">
      <c r="H427" s="226"/>
    </row>
    <row r="428" spans="8:8" ht="13">
      <c r="H428" s="226"/>
    </row>
    <row r="429" spans="8:8" ht="13">
      <c r="H429" s="226"/>
    </row>
    <row r="430" spans="8:8" ht="13">
      <c r="H430" s="226"/>
    </row>
    <row r="431" spans="8:8" ht="13">
      <c r="H431" s="226"/>
    </row>
    <row r="432" spans="8:8" ht="13">
      <c r="H432" s="226"/>
    </row>
    <row r="433" spans="8:8" ht="13">
      <c r="H433" s="226"/>
    </row>
    <row r="434" spans="8:8" ht="13">
      <c r="H434" s="226"/>
    </row>
    <row r="435" spans="8:8" ht="13">
      <c r="H435" s="226"/>
    </row>
    <row r="436" spans="8:8" ht="13">
      <c r="H436" s="226"/>
    </row>
    <row r="437" spans="8:8" ht="13">
      <c r="H437" s="226"/>
    </row>
    <row r="438" spans="8:8" ht="13">
      <c r="H438" s="226"/>
    </row>
    <row r="439" spans="8:8" ht="13">
      <c r="H439" s="226"/>
    </row>
    <row r="440" spans="8:8" ht="13">
      <c r="H440" s="226"/>
    </row>
    <row r="441" spans="8:8" ht="13">
      <c r="H441" s="226"/>
    </row>
    <row r="442" spans="8:8" ht="13">
      <c r="H442" s="226"/>
    </row>
    <row r="443" spans="8:8" ht="13">
      <c r="H443" s="226"/>
    </row>
    <row r="444" spans="8:8" ht="13">
      <c r="H444" s="226"/>
    </row>
    <row r="445" spans="8:8" ht="13">
      <c r="H445" s="226"/>
    </row>
    <row r="446" spans="8:8" ht="13">
      <c r="H446" s="226"/>
    </row>
    <row r="447" spans="8:8" ht="13">
      <c r="H447" s="226"/>
    </row>
    <row r="448" spans="8:8" ht="13">
      <c r="H448" s="226"/>
    </row>
    <row r="449" spans="8:8" ht="13">
      <c r="H449" s="226"/>
    </row>
    <row r="450" spans="8:8" ht="13">
      <c r="H450" s="226"/>
    </row>
    <row r="451" spans="8:8" ht="13">
      <c r="H451" s="226"/>
    </row>
    <row r="452" spans="8:8" ht="13">
      <c r="H452" s="226"/>
    </row>
    <row r="453" spans="8:8" ht="13">
      <c r="H453" s="226"/>
    </row>
    <row r="454" spans="8:8" ht="13">
      <c r="H454" s="226"/>
    </row>
    <row r="455" spans="8:8" ht="13">
      <c r="H455" s="226"/>
    </row>
    <row r="456" spans="8:8" ht="13">
      <c r="H456" s="226"/>
    </row>
    <row r="457" spans="8:8" ht="13">
      <c r="H457" s="226"/>
    </row>
    <row r="458" spans="8:8" ht="13">
      <c r="H458" s="226"/>
    </row>
    <row r="459" spans="8:8" ht="13">
      <c r="H459" s="226"/>
    </row>
    <row r="460" spans="8:8" ht="13">
      <c r="H460" s="226"/>
    </row>
    <row r="461" spans="8:8" ht="13">
      <c r="H461" s="226"/>
    </row>
    <row r="462" spans="8:8" ht="13">
      <c r="H462" s="226"/>
    </row>
    <row r="463" spans="8:8" ht="13">
      <c r="H463" s="226"/>
    </row>
    <row r="464" spans="8:8" ht="13">
      <c r="H464" s="226"/>
    </row>
    <row r="465" spans="8:8" ht="13">
      <c r="H465" s="226"/>
    </row>
    <row r="466" spans="8:8" ht="13">
      <c r="H466" s="226"/>
    </row>
    <row r="467" spans="8:8" ht="13">
      <c r="H467" s="226"/>
    </row>
    <row r="468" spans="8:8" ht="13">
      <c r="H468" s="226"/>
    </row>
    <row r="469" spans="8:8" ht="13">
      <c r="H469" s="226"/>
    </row>
    <row r="470" spans="8:8" ht="13">
      <c r="H470" s="226"/>
    </row>
    <row r="471" spans="8:8" ht="13">
      <c r="H471" s="226"/>
    </row>
    <row r="472" spans="8:8" ht="13">
      <c r="H472" s="226"/>
    </row>
    <row r="473" spans="8:8" ht="13">
      <c r="H473" s="226"/>
    </row>
    <row r="474" spans="8:8" ht="13">
      <c r="H474" s="226"/>
    </row>
    <row r="475" spans="8:8" ht="13">
      <c r="H475" s="226"/>
    </row>
    <row r="476" spans="8:8" ht="13">
      <c r="H476" s="226"/>
    </row>
    <row r="477" spans="8:8" ht="13">
      <c r="H477" s="226"/>
    </row>
    <row r="478" spans="8:8" ht="13">
      <c r="H478" s="226"/>
    </row>
    <row r="479" spans="8:8" ht="13">
      <c r="H479" s="226"/>
    </row>
    <row r="480" spans="8:8" ht="13">
      <c r="H480" s="226"/>
    </row>
    <row r="481" spans="8:8" ht="13">
      <c r="H481" s="226"/>
    </row>
    <row r="482" spans="8:8" ht="13">
      <c r="H482" s="226"/>
    </row>
    <row r="483" spans="8:8" ht="13">
      <c r="H483" s="226"/>
    </row>
    <row r="484" spans="8:8" ht="13">
      <c r="H484" s="226"/>
    </row>
    <row r="485" spans="8:8" ht="13">
      <c r="H485" s="226"/>
    </row>
    <row r="486" spans="8:8" ht="13">
      <c r="H486" s="226"/>
    </row>
    <row r="487" spans="8:8" ht="13">
      <c r="H487" s="226"/>
    </row>
    <row r="488" spans="8:8" ht="13">
      <c r="H488" s="226"/>
    </row>
    <row r="489" spans="8:8" ht="13">
      <c r="H489" s="226"/>
    </row>
    <row r="490" spans="8:8" ht="13">
      <c r="H490" s="226"/>
    </row>
    <row r="491" spans="8:8" ht="13">
      <c r="H491" s="226"/>
    </row>
    <row r="492" spans="8:8" ht="13">
      <c r="H492" s="226"/>
    </row>
    <row r="493" spans="8:8" ht="13">
      <c r="H493" s="226"/>
    </row>
    <row r="494" spans="8:8" ht="13">
      <c r="H494" s="226"/>
    </row>
    <row r="495" spans="8:8" ht="13">
      <c r="H495" s="226"/>
    </row>
    <row r="496" spans="8:8" ht="13">
      <c r="H496" s="226"/>
    </row>
    <row r="497" spans="8:8" ht="13">
      <c r="H497" s="226"/>
    </row>
    <row r="498" spans="8:8" ht="13">
      <c r="H498" s="226"/>
    </row>
    <row r="499" spans="8:8" ht="13">
      <c r="H499" s="226"/>
    </row>
    <row r="500" spans="8:8" ht="13">
      <c r="H500" s="226"/>
    </row>
    <row r="501" spans="8:8" ht="13">
      <c r="H501" s="226"/>
    </row>
    <row r="502" spans="8:8" ht="13">
      <c r="H502" s="226"/>
    </row>
    <row r="503" spans="8:8" ht="13">
      <c r="H503" s="226"/>
    </row>
    <row r="504" spans="8:8" ht="13">
      <c r="H504" s="226"/>
    </row>
    <row r="505" spans="8:8" ht="13">
      <c r="H505" s="226"/>
    </row>
    <row r="506" spans="8:8" ht="13">
      <c r="H506" s="226"/>
    </row>
    <row r="507" spans="8:8" ht="13">
      <c r="H507" s="226"/>
    </row>
    <row r="508" spans="8:8" ht="13">
      <c r="H508" s="226"/>
    </row>
    <row r="509" spans="8:8" ht="13">
      <c r="H509" s="226"/>
    </row>
    <row r="510" spans="8:8" ht="13">
      <c r="H510" s="226"/>
    </row>
    <row r="511" spans="8:8" ht="13">
      <c r="H511" s="226"/>
    </row>
    <row r="512" spans="8:8" ht="13">
      <c r="H512" s="226"/>
    </row>
    <row r="513" spans="8:8" ht="13">
      <c r="H513" s="226"/>
    </row>
    <row r="514" spans="8:8" ht="13">
      <c r="H514" s="226"/>
    </row>
    <row r="515" spans="8:8" ht="13">
      <c r="H515" s="226"/>
    </row>
    <row r="516" spans="8:8" ht="13">
      <c r="H516" s="226"/>
    </row>
    <row r="517" spans="8:8" ht="13">
      <c r="H517" s="226"/>
    </row>
    <row r="518" spans="8:8" ht="13">
      <c r="H518" s="226"/>
    </row>
    <row r="519" spans="8:8" ht="13">
      <c r="H519" s="226"/>
    </row>
    <row r="520" spans="8:8" ht="13">
      <c r="H520" s="226"/>
    </row>
    <row r="521" spans="8:8" ht="13">
      <c r="H521" s="226"/>
    </row>
    <row r="522" spans="8:8" ht="13">
      <c r="H522" s="226"/>
    </row>
    <row r="523" spans="8:8" ht="13">
      <c r="H523" s="226"/>
    </row>
    <row r="524" spans="8:8" ht="13">
      <c r="H524" s="226"/>
    </row>
    <row r="525" spans="8:8" ht="13">
      <c r="H525" s="226"/>
    </row>
    <row r="526" spans="8:8" ht="13">
      <c r="H526" s="226"/>
    </row>
    <row r="527" spans="8:8" ht="13">
      <c r="H527" s="226"/>
    </row>
    <row r="528" spans="8:8" ht="13">
      <c r="H528" s="226"/>
    </row>
    <row r="529" spans="8:8" ht="13">
      <c r="H529" s="226"/>
    </row>
    <row r="530" spans="8:8" ht="13">
      <c r="H530" s="226"/>
    </row>
    <row r="531" spans="8:8" ht="13">
      <c r="H531" s="226"/>
    </row>
    <row r="532" spans="8:8" ht="13">
      <c r="H532" s="226"/>
    </row>
    <row r="533" spans="8:8" ht="13">
      <c r="H533" s="226"/>
    </row>
    <row r="534" spans="8:8" ht="13">
      <c r="H534" s="226"/>
    </row>
    <row r="535" spans="8:8" ht="13">
      <c r="H535" s="226"/>
    </row>
    <row r="536" spans="8:8" ht="13">
      <c r="H536" s="226"/>
    </row>
    <row r="537" spans="8:8" ht="13">
      <c r="H537" s="226"/>
    </row>
    <row r="538" spans="8:8" ht="13">
      <c r="H538" s="226"/>
    </row>
    <row r="539" spans="8:8" ht="13">
      <c r="H539" s="226"/>
    </row>
    <row r="540" spans="8:8" ht="13">
      <c r="H540" s="226"/>
    </row>
    <row r="541" spans="8:8" ht="13">
      <c r="H541" s="226"/>
    </row>
    <row r="542" spans="8:8" ht="13">
      <c r="H542" s="226"/>
    </row>
    <row r="543" spans="8:8" ht="13">
      <c r="H543" s="226"/>
    </row>
    <row r="544" spans="8:8" ht="13">
      <c r="H544" s="226"/>
    </row>
    <row r="545" spans="8:8" ht="13">
      <c r="H545" s="226"/>
    </row>
    <row r="546" spans="8:8" ht="13">
      <c r="H546" s="226"/>
    </row>
    <row r="547" spans="8:8" ht="13">
      <c r="H547" s="226"/>
    </row>
    <row r="548" spans="8:8" ht="13">
      <c r="H548" s="226"/>
    </row>
    <row r="549" spans="8:8" ht="13">
      <c r="H549" s="226"/>
    </row>
    <row r="550" spans="8:8" ht="13">
      <c r="H550" s="226"/>
    </row>
    <row r="551" spans="8:8" ht="13">
      <c r="H551" s="226"/>
    </row>
    <row r="552" spans="8:8" ht="13">
      <c r="H552" s="226"/>
    </row>
    <row r="553" spans="8:8" ht="13">
      <c r="H553" s="226"/>
    </row>
    <row r="554" spans="8:8" ht="13">
      <c r="H554" s="226"/>
    </row>
    <row r="555" spans="8:8" ht="13">
      <c r="H555" s="226"/>
    </row>
    <row r="556" spans="8:8" ht="13">
      <c r="H556" s="226"/>
    </row>
    <row r="557" spans="8:8" ht="13">
      <c r="H557" s="226"/>
    </row>
    <row r="558" spans="8:8" ht="13">
      <c r="H558" s="226"/>
    </row>
    <row r="559" spans="8:8" ht="13">
      <c r="H559" s="226"/>
    </row>
    <row r="560" spans="8:8" ht="13">
      <c r="H560" s="226"/>
    </row>
    <row r="561" spans="8:8" ht="13">
      <c r="H561" s="226"/>
    </row>
    <row r="562" spans="8:8" ht="13">
      <c r="H562" s="226"/>
    </row>
    <row r="563" spans="8:8" ht="13">
      <c r="H563" s="226"/>
    </row>
    <row r="564" spans="8:8" ht="13">
      <c r="H564" s="226"/>
    </row>
    <row r="565" spans="8:8" ht="13">
      <c r="H565" s="226"/>
    </row>
    <row r="566" spans="8:8" ht="13">
      <c r="H566" s="226"/>
    </row>
    <row r="567" spans="8:8" ht="13">
      <c r="H567" s="226"/>
    </row>
    <row r="568" spans="8:8" ht="13">
      <c r="H568" s="226"/>
    </row>
    <row r="569" spans="8:8" ht="13">
      <c r="H569" s="226"/>
    </row>
    <row r="570" spans="8:8" ht="13">
      <c r="H570" s="226"/>
    </row>
    <row r="571" spans="8:8" ht="13">
      <c r="H571" s="226"/>
    </row>
    <row r="572" spans="8:8" ht="13">
      <c r="H572" s="226"/>
    </row>
    <row r="573" spans="8:8" ht="13">
      <c r="H573" s="226"/>
    </row>
    <row r="574" spans="8:8" ht="13">
      <c r="H574" s="226"/>
    </row>
    <row r="575" spans="8:8" ht="13">
      <c r="H575" s="226"/>
    </row>
    <row r="576" spans="8:8" ht="13">
      <c r="H576" s="226"/>
    </row>
    <row r="577" spans="8:8" ht="13">
      <c r="H577" s="226"/>
    </row>
    <row r="578" spans="8:8" ht="13">
      <c r="H578" s="226"/>
    </row>
    <row r="579" spans="8:8" ht="13">
      <c r="H579" s="226"/>
    </row>
    <row r="580" spans="8:8" ht="13">
      <c r="H580" s="226"/>
    </row>
    <row r="581" spans="8:8" ht="13">
      <c r="H581" s="226"/>
    </row>
    <row r="582" spans="8:8" ht="13">
      <c r="H582" s="226"/>
    </row>
    <row r="583" spans="8:8" ht="13">
      <c r="H583" s="226"/>
    </row>
    <row r="584" spans="8:8" ht="13">
      <c r="H584" s="226"/>
    </row>
    <row r="585" spans="8:8" ht="13">
      <c r="H585" s="226"/>
    </row>
    <row r="586" spans="8:8" ht="13">
      <c r="H586" s="226"/>
    </row>
    <row r="587" spans="8:8" ht="13">
      <c r="H587" s="226"/>
    </row>
    <row r="588" spans="8:8" ht="13">
      <c r="H588" s="226"/>
    </row>
    <row r="589" spans="8:8" ht="13">
      <c r="H589" s="226"/>
    </row>
    <row r="590" spans="8:8" ht="13">
      <c r="H590" s="226"/>
    </row>
    <row r="591" spans="8:8" ht="13">
      <c r="H591" s="226"/>
    </row>
    <row r="592" spans="8:8" ht="13">
      <c r="H592" s="226"/>
    </row>
    <row r="593" spans="8:8" ht="13">
      <c r="H593" s="226"/>
    </row>
    <row r="594" spans="8:8" ht="13">
      <c r="H594" s="226"/>
    </row>
    <row r="595" spans="8:8" ht="13">
      <c r="H595" s="226"/>
    </row>
    <row r="596" spans="8:8" ht="13">
      <c r="H596" s="226"/>
    </row>
    <row r="597" spans="8:8" ht="13">
      <c r="H597" s="226"/>
    </row>
    <row r="598" spans="8:8" ht="13">
      <c r="H598" s="226"/>
    </row>
    <row r="599" spans="8:8" ht="13">
      <c r="H599" s="226"/>
    </row>
    <row r="600" spans="8:8" ht="13">
      <c r="H600" s="226"/>
    </row>
    <row r="601" spans="8:8" ht="13">
      <c r="H601" s="226"/>
    </row>
    <row r="602" spans="8:8" ht="13">
      <c r="H602" s="226"/>
    </row>
    <row r="603" spans="8:8" ht="13">
      <c r="H603" s="226"/>
    </row>
    <row r="604" spans="8:8" ht="13">
      <c r="H604" s="226"/>
    </row>
    <row r="605" spans="8:8" ht="13">
      <c r="H605" s="226"/>
    </row>
    <row r="606" spans="8:8" ht="13">
      <c r="H606" s="226"/>
    </row>
    <row r="607" spans="8:8" ht="13">
      <c r="H607" s="226"/>
    </row>
    <row r="608" spans="8:8" ht="13">
      <c r="H608" s="226"/>
    </row>
    <row r="609" spans="8:8" ht="13">
      <c r="H609" s="226"/>
    </row>
    <row r="610" spans="8:8" ht="13">
      <c r="H610" s="226"/>
    </row>
    <row r="611" spans="8:8" ht="13">
      <c r="H611" s="226"/>
    </row>
    <row r="612" spans="8:8" ht="13">
      <c r="H612" s="226"/>
    </row>
    <row r="613" spans="8:8" ht="13">
      <c r="H613" s="226"/>
    </row>
    <row r="614" spans="8:8" ht="13">
      <c r="H614" s="226"/>
    </row>
    <row r="615" spans="8:8" ht="13">
      <c r="H615" s="226"/>
    </row>
    <row r="616" spans="8:8" ht="13">
      <c r="H616" s="226"/>
    </row>
    <row r="617" spans="8:8" ht="13">
      <c r="H617" s="226"/>
    </row>
    <row r="618" spans="8:8" ht="13">
      <c r="H618" s="226"/>
    </row>
    <row r="619" spans="8:8" ht="13">
      <c r="H619" s="226"/>
    </row>
    <row r="620" spans="8:8" ht="13">
      <c r="H620" s="226"/>
    </row>
    <row r="621" spans="8:8" ht="13">
      <c r="H621" s="226"/>
    </row>
    <row r="622" spans="8:8" ht="13">
      <c r="H622" s="226"/>
    </row>
    <row r="623" spans="8:8" ht="13">
      <c r="H623" s="226"/>
    </row>
    <row r="624" spans="8:8" ht="13">
      <c r="H624" s="226"/>
    </row>
    <row r="625" spans="8:8" ht="13">
      <c r="H625" s="226"/>
    </row>
    <row r="626" spans="8:8" ht="13">
      <c r="H626" s="226"/>
    </row>
    <row r="627" spans="8:8" ht="13">
      <c r="H627" s="226"/>
    </row>
    <row r="628" spans="8:8" ht="13">
      <c r="H628" s="226"/>
    </row>
    <row r="629" spans="8:8" ht="13">
      <c r="H629" s="226"/>
    </row>
    <row r="630" spans="8:8" ht="13">
      <c r="H630" s="226"/>
    </row>
    <row r="631" spans="8:8" ht="13">
      <c r="H631" s="226"/>
    </row>
    <row r="632" spans="8:8" ht="13">
      <c r="H632" s="226"/>
    </row>
    <row r="633" spans="8:8" ht="13">
      <c r="H633" s="226"/>
    </row>
    <row r="634" spans="8:8" ht="13">
      <c r="H634" s="226"/>
    </row>
    <row r="635" spans="8:8" ht="13">
      <c r="H635" s="226"/>
    </row>
    <row r="636" spans="8:8" ht="13">
      <c r="H636" s="226"/>
    </row>
    <row r="637" spans="8:8" ht="13">
      <c r="H637" s="226"/>
    </row>
    <row r="638" spans="8:8" ht="13">
      <c r="H638" s="226"/>
    </row>
    <row r="639" spans="8:8" ht="13">
      <c r="H639" s="226"/>
    </row>
    <row r="640" spans="8:8" ht="13">
      <c r="H640" s="226"/>
    </row>
    <row r="641" spans="8:8" ht="13">
      <c r="H641" s="226"/>
    </row>
    <row r="642" spans="8:8" ht="13">
      <c r="H642" s="226"/>
    </row>
    <row r="643" spans="8:8" ht="13">
      <c r="H643" s="226"/>
    </row>
    <row r="644" spans="8:8" ht="13">
      <c r="H644" s="226"/>
    </row>
    <row r="645" spans="8:8" ht="13">
      <c r="H645" s="226"/>
    </row>
    <row r="646" spans="8:8" ht="13">
      <c r="H646" s="226"/>
    </row>
    <row r="647" spans="8:8" ht="13">
      <c r="H647" s="226"/>
    </row>
    <row r="648" spans="8:8" ht="13">
      <c r="H648" s="226"/>
    </row>
    <row r="649" spans="8:8" ht="13">
      <c r="H649" s="226"/>
    </row>
    <row r="650" spans="8:8" ht="13">
      <c r="H650" s="226"/>
    </row>
    <row r="651" spans="8:8" ht="13">
      <c r="H651" s="226"/>
    </row>
    <row r="652" spans="8:8" ht="13">
      <c r="H652" s="226"/>
    </row>
    <row r="653" spans="8:8" ht="13">
      <c r="H653" s="226"/>
    </row>
    <row r="654" spans="8:8" ht="13">
      <c r="H654" s="226"/>
    </row>
    <row r="655" spans="8:8" ht="13">
      <c r="H655" s="226"/>
    </row>
    <row r="656" spans="8:8" ht="13">
      <c r="H656" s="226"/>
    </row>
    <row r="657" spans="8:8" ht="13">
      <c r="H657" s="226"/>
    </row>
    <row r="658" spans="8:8" ht="13">
      <c r="H658" s="226"/>
    </row>
    <row r="659" spans="8:8" ht="13">
      <c r="H659" s="226"/>
    </row>
    <row r="660" spans="8:8" ht="13">
      <c r="H660" s="226"/>
    </row>
    <row r="661" spans="8:8" ht="13">
      <c r="H661" s="226"/>
    </row>
    <row r="662" spans="8:8" ht="13">
      <c r="H662" s="226"/>
    </row>
    <row r="663" spans="8:8" ht="13">
      <c r="H663" s="226"/>
    </row>
    <row r="664" spans="8:8" ht="13">
      <c r="H664" s="226"/>
    </row>
    <row r="665" spans="8:8" ht="13">
      <c r="H665" s="226"/>
    </row>
    <row r="666" spans="8:8" ht="13">
      <c r="H666" s="226"/>
    </row>
    <row r="667" spans="8:8" ht="13">
      <c r="H667" s="226"/>
    </row>
    <row r="668" spans="8:8" ht="13">
      <c r="H668" s="226"/>
    </row>
    <row r="669" spans="8:8" ht="13">
      <c r="H669" s="226"/>
    </row>
    <row r="670" spans="8:8" ht="13">
      <c r="H670" s="226"/>
    </row>
    <row r="671" spans="8:8" ht="13">
      <c r="H671" s="226"/>
    </row>
    <row r="672" spans="8:8" ht="13">
      <c r="H672" s="226"/>
    </row>
    <row r="673" spans="8:8" ht="13">
      <c r="H673" s="226"/>
    </row>
    <row r="674" spans="8:8" ht="13">
      <c r="H674" s="226"/>
    </row>
    <row r="675" spans="8:8" ht="13">
      <c r="H675" s="226"/>
    </row>
    <row r="676" spans="8:8" ht="13">
      <c r="H676" s="226"/>
    </row>
    <row r="677" spans="8:8" ht="13">
      <c r="H677" s="226"/>
    </row>
    <row r="678" spans="8:8" ht="13">
      <c r="H678" s="226"/>
    </row>
    <row r="679" spans="8:8" ht="13">
      <c r="H679" s="226"/>
    </row>
    <row r="680" spans="8:8" ht="13">
      <c r="H680" s="226"/>
    </row>
    <row r="681" spans="8:8" ht="13">
      <c r="H681" s="226"/>
    </row>
    <row r="682" spans="8:8" ht="13">
      <c r="H682" s="226"/>
    </row>
    <row r="683" spans="8:8" ht="13">
      <c r="H683" s="226"/>
    </row>
    <row r="684" spans="8:8" ht="13">
      <c r="H684" s="226"/>
    </row>
    <row r="685" spans="8:8" ht="13">
      <c r="H685" s="226"/>
    </row>
    <row r="686" spans="8:8" ht="13">
      <c r="H686" s="226"/>
    </row>
    <row r="687" spans="8:8" ht="13">
      <c r="H687" s="226"/>
    </row>
    <row r="688" spans="8:8" ht="13">
      <c r="H688" s="226"/>
    </row>
    <row r="689" spans="8:8" ht="13">
      <c r="H689" s="226"/>
    </row>
    <row r="690" spans="8:8" ht="13">
      <c r="H690" s="226"/>
    </row>
    <row r="691" spans="8:8" ht="13">
      <c r="H691" s="226"/>
    </row>
    <row r="692" spans="8:8" ht="13">
      <c r="H692" s="226"/>
    </row>
    <row r="693" spans="8:8" ht="13">
      <c r="H693" s="226"/>
    </row>
    <row r="694" spans="8:8" ht="13">
      <c r="H694" s="226"/>
    </row>
    <row r="695" spans="8:8" ht="13">
      <c r="H695" s="226"/>
    </row>
    <row r="696" spans="8:8" ht="13">
      <c r="H696" s="226"/>
    </row>
    <row r="697" spans="8:8" ht="13">
      <c r="H697" s="226"/>
    </row>
    <row r="698" spans="8:8" ht="13">
      <c r="H698" s="226"/>
    </row>
    <row r="699" spans="8:8" ht="13">
      <c r="H699" s="226"/>
    </row>
    <row r="700" spans="8:8" ht="13">
      <c r="H700" s="226"/>
    </row>
    <row r="701" spans="8:8" ht="13">
      <c r="H701" s="226"/>
    </row>
    <row r="702" spans="8:8" ht="13">
      <c r="H702" s="226"/>
    </row>
    <row r="703" spans="8:8" ht="13">
      <c r="H703" s="226"/>
    </row>
    <row r="704" spans="8:8" ht="13">
      <c r="H704" s="226"/>
    </row>
    <row r="705" spans="8:8" ht="13">
      <c r="H705" s="226"/>
    </row>
    <row r="706" spans="8:8" ht="13">
      <c r="H706" s="226"/>
    </row>
    <row r="707" spans="8:8" ht="13">
      <c r="H707" s="226"/>
    </row>
    <row r="708" spans="8:8" ht="13">
      <c r="H708" s="226"/>
    </row>
    <row r="709" spans="8:8" ht="13">
      <c r="H709" s="226"/>
    </row>
    <row r="710" spans="8:8" ht="13">
      <c r="H710" s="226"/>
    </row>
    <row r="711" spans="8:8" ht="13">
      <c r="H711" s="226"/>
    </row>
    <row r="712" spans="8:8" ht="13">
      <c r="H712" s="226"/>
    </row>
    <row r="713" spans="8:8" ht="13">
      <c r="H713" s="226"/>
    </row>
    <row r="714" spans="8:8" ht="13">
      <c r="H714" s="226"/>
    </row>
    <row r="715" spans="8:8" ht="13">
      <c r="H715" s="226"/>
    </row>
    <row r="716" spans="8:8" ht="13">
      <c r="H716" s="226"/>
    </row>
    <row r="717" spans="8:8" ht="13">
      <c r="H717" s="226"/>
    </row>
    <row r="718" spans="8:8" ht="13">
      <c r="H718" s="226"/>
    </row>
    <row r="719" spans="8:8" ht="13">
      <c r="H719" s="226"/>
    </row>
    <row r="720" spans="8:8" ht="13">
      <c r="H720" s="226"/>
    </row>
    <row r="721" spans="8:8" ht="13">
      <c r="H721" s="226"/>
    </row>
    <row r="722" spans="8:8" ht="13">
      <c r="H722" s="226"/>
    </row>
    <row r="723" spans="8:8" ht="13">
      <c r="H723" s="226"/>
    </row>
    <row r="724" spans="8:8" ht="13">
      <c r="H724" s="226"/>
    </row>
    <row r="725" spans="8:8" ht="13">
      <c r="H725" s="226"/>
    </row>
    <row r="726" spans="8:8" ht="13">
      <c r="H726" s="226"/>
    </row>
    <row r="727" spans="8:8" ht="13">
      <c r="H727" s="226"/>
    </row>
    <row r="728" spans="8:8" ht="13">
      <c r="H728" s="226"/>
    </row>
    <row r="729" spans="8:8" ht="13">
      <c r="H729" s="226"/>
    </row>
    <row r="730" spans="8:8" ht="13">
      <c r="H730" s="226"/>
    </row>
    <row r="731" spans="8:8" ht="13">
      <c r="H731" s="226"/>
    </row>
    <row r="732" spans="8:8" ht="13">
      <c r="H732" s="226"/>
    </row>
    <row r="733" spans="8:8" ht="13">
      <c r="H733" s="226"/>
    </row>
    <row r="734" spans="8:8" ht="13">
      <c r="H734" s="226"/>
    </row>
    <row r="735" spans="8:8" ht="13">
      <c r="H735" s="226"/>
    </row>
    <row r="736" spans="8:8" ht="13">
      <c r="H736" s="226"/>
    </row>
    <row r="737" spans="8:8" ht="13">
      <c r="H737" s="226"/>
    </row>
    <row r="738" spans="8:8" ht="13">
      <c r="H738" s="226"/>
    </row>
    <row r="739" spans="8:8" ht="13">
      <c r="H739" s="226"/>
    </row>
    <row r="740" spans="8:8" ht="13">
      <c r="H740" s="226"/>
    </row>
    <row r="741" spans="8:8" ht="13">
      <c r="H741" s="226"/>
    </row>
    <row r="742" spans="8:8" ht="13">
      <c r="H742" s="226"/>
    </row>
    <row r="743" spans="8:8" ht="13">
      <c r="H743" s="226"/>
    </row>
    <row r="744" spans="8:8" ht="13">
      <c r="H744" s="226"/>
    </row>
    <row r="745" spans="8:8" ht="13">
      <c r="H745" s="226"/>
    </row>
    <row r="746" spans="8:8" ht="13">
      <c r="H746" s="226"/>
    </row>
    <row r="747" spans="8:8" ht="13">
      <c r="H747" s="226"/>
    </row>
    <row r="748" spans="8:8" ht="13">
      <c r="H748" s="226"/>
    </row>
    <row r="749" spans="8:8" ht="13">
      <c r="H749" s="226"/>
    </row>
    <row r="750" spans="8:8" ht="13">
      <c r="H750" s="226"/>
    </row>
    <row r="751" spans="8:8" ht="13">
      <c r="H751" s="226"/>
    </row>
    <row r="752" spans="8:8" ht="13">
      <c r="H752" s="226"/>
    </row>
    <row r="753" spans="8:8" ht="13">
      <c r="H753" s="226"/>
    </row>
    <row r="754" spans="8:8" ht="13">
      <c r="H754" s="226"/>
    </row>
    <row r="755" spans="8:8" ht="13">
      <c r="H755" s="226"/>
    </row>
    <row r="756" spans="8:8" ht="13">
      <c r="H756" s="226"/>
    </row>
    <row r="757" spans="8:8" ht="13">
      <c r="H757" s="226"/>
    </row>
    <row r="758" spans="8:8" ht="13">
      <c r="H758" s="226"/>
    </row>
    <row r="759" spans="8:8" ht="13">
      <c r="H759" s="226"/>
    </row>
    <row r="760" spans="8:8" ht="13">
      <c r="H760" s="226"/>
    </row>
    <row r="761" spans="8:8" ht="13">
      <c r="H761" s="226"/>
    </row>
    <row r="762" spans="8:8" ht="13">
      <c r="H762" s="226"/>
    </row>
    <row r="763" spans="8:8" ht="13">
      <c r="H763" s="226"/>
    </row>
    <row r="764" spans="8:8" ht="13">
      <c r="H764" s="226"/>
    </row>
    <row r="765" spans="8:8" ht="13">
      <c r="H765" s="226"/>
    </row>
    <row r="766" spans="8:8" ht="13">
      <c r="H766" s="226"/>
    </row>
    <row r="767" spans="8:8" ht="13">
      <c r="H767" s="226"/>
    </row>
    <row r="768" spans="8:8" ht="13">
      <c r="H768" s="226"/>
    </row>
    <row r="769" spans="8:8" ht="13">
      <c r="H769" s="226"/>
    </row>
    <row r="770" spans="8:8" ht="13">
      <c r="H770" s="226"/>
    </row>
    <row r="771" spans="8:8" ht="13">
      <c r="H771" s="226"/>
    </row>
    <row r="772" spans="8:8" ht="13">
      <c r="H772" s="226"/>
    </row>
    <row r="773" spans="8:8" ht="13">
      <c r="H773" s="226"/>
    </row>
    <row r="774" spans="8:8" ht="13">
      <c r="H774" s="226"/>
    </row>
    <row r="775" spans="8:8" ht="13">
      <c r="H775" s="226"/>
    </row>
    <row r="776" spans="8:8" ht="13">
      <c r="H776" s="226"/>
    </row>
    <row r="777" spans="8:8" ht="13">
      <c r="H777" s="226"/>
    </row>
    <row r="778" spans="8:8" ht="13">
      <c r="H778" s="226"/>
    </row>
    <row r="779" spans="8:8" ht="13">
      <c r="H779" s="226"/>
    </row>
    <row r="780" spans="8:8" ht="13">
      <c r="H780" s="226"/>
    </row>
    <row r="781" spans="8:8" ht="13">
      <c r="H781" s="226"/>
    </row>
    <row r="782" spans="8:8" ht="13">
      <c r="H782" s="226"/>
    </row>
    <row r="783" spans="8:8" ht="13">
      <c r="H783" s="226"/>
    </row>
    <row r="784" spans="8:8" ht="13">
      <c r="H784" s="226"/>
    </row>
    <row r="785" spans="8:8" ht="13">
      <c r="H785" s="226"/>
    </row>
    <row r="786" spans="8:8" ht="13">
      <c r="H786" s="226"/>
    </row>
    <row r="787" spans="8:8" ht="13">
      <c r="H787" s="226"/>
    </row>
    <row r="788" spans="8:8" ht="13">
      <c r="H788" s="226"/>
    </row>
    <row r="789" spans="8:8" ht="13">
      <c r="H789" s="226"/>
    </row>
    <row r="790" spans="8:8" ht="13">
      <c r="H790" s="226"/>
    </row>
    <row r="791" spans="8:8" ht="13">
      <c r="H791" s="226"/>
    </row>
    <row r="792" spans="8:8" ht="13">
      <c r="H792" s="226"/>
    </row>
    <row r="793" spans="8:8" ht="13">
      <c r="H793" s="226"/>
    </row>
    <row r="794" spans="8:8" ht="13">
      <c r="H794" s="226"/>
    </row>
    <row r="795" spans="8:8" ht="13">
      <c r="H795" s="226"/>
    </row>
    <row r="796" spans="8:8" ht="13">
      <c r="H796" s="226"/>
    </row>
    <row r="797" spans="8:8" ht="13">
      <c r="H797" s="226"/>
    </row>
    <row r="798" spans="8:8" ht="13">
      <c r="H798" s="226"/>
    </row>
    <row r="799" spans="8:8" ht="13">
      <c r="H799" s="226"/>
    </row>
    <row r="800" spans="8:8" ht="13">
      <c r="H800" s="226"/>
    </row>
    <row r="801" spans="8:8" ht="13">
      <c r="H801" s="226"/>
    </row>
    <row r="802" spans="8:8" ht="13">
      <c r="H802" s="226"/>
    </row>
    <row r="803" spans="8:8" ht="13">
      <c r="H803" s="226"/>
    </row>
    <row r="804" spans="8:8" ht="13">
      <c r="H804" s="226"/>
    </row>
    <row r="805" spans="8:8" ht="13">
      <c r="H805" s="226"/>
    </row>
    <row r="806" spans="8:8" ht="13">
      <c r="H806" s="226"/>
    </row>
    <row r="807" spans="8:8" ht="13">
      <c r="H807" s="226"/>
    </row>
    <row r="808" spans="8:8" ht="13">
      <c r="H808" s="226"/>
    </row>
    <row r="809" spans="8:8" ht="13">
      <c r="H809" s="226"/>
    </row>
    <row r="810" spans="8:8" ht="13">
      <c r="H810" s="226"/>
    </row>
    <row r="811" spans="8:8" ht="13">
      <c r="H811" s="226"/>
    </row>
    <row r="812" spans="8:8" ht="13">
      <c r="H812" s="226"/>
    </row>
    <row r="813" spans="8:8" ht="13">
      <c r="H813" s="226"/>
    </row>
    <row r="814" spans="8:8" ht="13">
      <c r="H814" s="226"/>
    </row>
    <row r="815" spans="8:8" ht="13">
      <c r="H815" s="226"/>
    </row>
    <row r="816" spans="8:8" ht="13">
      <c r="H816" s="226"/>
    </row>
    <row r="817" spans="8:8" ht="13">
      <c r="H817" s="226"/>
    </row>
    <row r="818" spans="8:8" ht="13">
      <c r="H818" s="226"/>
    </row>
    <row r="819" spans="8:8" ht="13">
      <c r="H819" s="226"/>
    </row>
    <row r="820" spans="8:8" ht="13">
      <c r="H820" s="226"/>
    </row>
    <row r="821" spans="8:8" ht="13">
      <c r="H821" s="226"/>
    </row>
    <row r="822" spans="8:8" ht="13">
      <c r="H822" s="226"/>
    </row>
    <row r="823" spans="8:8" ht="13">
      <c r="H823" s="226"/>
    </row>
    <row r="824" spans="8:8" ht="13">
      <c r="H824" s="226"/>
    </row>
    <row r="825" spans="8:8" ht="13">
      <c r="H825" s="226"/>
    </row>
    <row r="826" spans="8:8" ht="13">
      <c r="H826" s="226"/>
    </row>
    <row r="827" spans="8:8" ht="13">
      <c r="H827" s="226"/>
    </row>
    <row r="828" spans="8:8" ht="13">
      <c r="H828" s="226"/>
    </row>
    <row r="829" spans="8:8" ht="13">
      <c r="H829" s="226"/>
    </row>
    <row r="830" spans="8:8" ht="13">
      <c r="H830" s="226"/>
    </row>
    <row r="831" spans="8:8" ht="13">
      <c r="H831" s="226"/>
    </row>
    <row r="832" spans="8:8" ht="13">
      <c r="H832" s="226"/>
    </row>
    <row r="833" spans="8:8" ht="13">
      <c r="H833" s="226"/>
    </row>
    <row r="834" spans="8:8" ht="13">
      <c r="H834" s="226"/>
    </row>
    <row r="835" spans="8:8" ht="13">
      <c r="H835" s="226"/>
    </row>
    <row r="836" spans="8:8" ht="13">
      <c r="H836" s="226"/>
    </row>
    <row r="837" spans="8:8" ht="13">
      <c r="H837" s="226"/>
    </row>
    <row r="838" spans="8:8" ht="13">
      <c r="H838" s="226"/>
    </row>
    <row r="839" spans="8:8" ht="13">
      <c r="H839" s="226"/>
    </row>
    <row r="840" spans="8:8" ht="13">
      <c r="H840" s="226"/>
    </row>
    <row r="841" spans="8:8" ht="13">
      <c r="H841" s="226"/>
    </row>
    <row r="842" spans="8:8" ht="13">
      <c r="H842" s="226"/>
    </row>
    <row r="843" spans="8:8" ht="13">
      <c r="H843" s="226"/>
    </row>
    <row r="844" spans="8:8" ht="13">
      <c r="H844" s="226"/>
    </row>
    <row r="845" spans="8:8" ht="13">
      <c r="H845" s="226"/>
    </row>
    <row r="846" spans="8:8" ht="13">
      <c r="H846" s="226"/>
    </row>
    <row r="847" spans="8:8" ht="13">
      <c r="H847" s="226"/>
    </row>
    <row r="848" spans="8:8" ht="13">
      <c r="H848" s="226"/>
    </row>
    <row r="849" spans="8:8" ht="13">
      <c r="H849" s="226"/>
    </row>
    <row r="850" spans="8:8" ht="13">
      <c r="H850" s="226"/>
    </row>
    <row r="851" spans="8:8" ht="13">
      <c r="H851" s="226"/>
    </row>
    <row r="852" spans="8:8" ht="13">
      <c r="H852" s="226"/>
    </row>
    <row r="853" spans="8:8" ht="13">
      <c r="H853" s="226"/>
    </row>
    <row r="854" spans="8:8" ht="13">
      <c r="H854" s="226"/>
    </row>
    <row r="855" spans="8:8" ht="13">
      <c r="H855" s="226"/>
    </row>
    <row r="856" spans="8:8" ht="13">
      <c r="H856" s="226"/>
    </row>
    <row r="857" spans="8:8" ht="13">
      <c r="H857" s="226"/>
    </row>
    <row r="858" spans="8:8" ht="13">
      <c r="H858" s="226"/>
    </row>
    <row r="859" spans="8:8" ht="13">
      <c r="H859" s="226"/>
    </row>
    <row r="860" spans="8:8" ht="13">
      <c r="H860" s="226"/>
    </row>
    <row r="861" spans="8:8" ht="13">
      <c r="H861" s="226"/>
    </row>
    <row r="862" spans="8:8" ht="13">
      <c r="H862" s="226"/>
    </row>
    <row r="863" spans="8:8" ht="13">
      <c r="H863" s="226"/>
    </row>
    <row r="864" spans="8:8" ht="13">
      <c r="H864" s="226"/>
    </row>
    <row r="865" spans="8:8" ht="13">
      <c r="H865" s="226"/>
    </row>
    <row r="866" spans="8:8" ht="13">
      <c r="H866" s="226"/>
    </row>
    <row r="867" spans="8:8" ht="13">
      <c r="H867" s="226"/>
    </row>
    <row r="868" spans="8:8" ht="13">
      <c r="H868" s="226"/>
    </row>
    <row r="869" spans="8:8" ht="13">
      <c r="H869" s="226"/>
    </row>
    <row r="870" spans="8:8" ht="13">
      <c r="H870" s="226"/>
    </row>
    <row r="871" spans="8:8" ht="13">
      <c r="H871" s="226"/>
    </row>
    <row r="872" spans="8:8" ht="13">
      <c r="H872" s="226"/>
    </row>
    <row r="873" spans="8:8" ht="13">
      <c r="H873" s="226"/>
    </row>
    <row r="874" spans="8:8" ht="13">
      <c r="H874" s="226"/>
    </row>
    <row r="875" spans="8:8" ht="13">
      <c r="H875" s="226"/>
    </row>
    <row r="876" spans="8:8" ht="13">
      <c r="H876" s="226"/>
    </row>
    <row r="877" spans="8:8" ht="13">
      <c r="H877" s="226"/>
    </row>
    <row r="878" spans="8:8" ht="13">
      <c r="H878" s="226"/>
    </row>
    <row r="879" spans="8:8" ht="13">
      <c r="H879" s="226"/>
    </row>
    <row r="880" spans="8:8" ht="13">
      <c r="H880" s="226"/>
    </row>
    <row r="881" spans="8:8" ht="13">
      <c r="H881" s="226"/>
    </row>
    <row r="882" spans="8:8" ht="13">
      <c r="H882" s="226"/>
    </row>
    <row r="883" spans="8:8" ht="13">
      <c r="H883" s="226"/>
    </row>
    <row r="884" spans="8:8" ht="13">
      <c r="H884" s="226"/>
    </row>
    <row r="885" spans="8:8" ht="13">
      <c r="H885" s="226"/>
    </row>
    <row r="886" spans="8:8" ht="13">
      <c r="H886" s="226"/>
    </row>
    <row r="887" spans="8:8" ht="13">
      <c r="H887" s="226"/>
    </row>
    <row r="888" spans="8:8" ht="13">
      <c r="H888" s="226"/>
    </row>
    <row r="889" spans="8:8" ht="13">
      <c r="H889" s="226"/>
    </row>
    <row r="890" spans="8:8" ht="13">
      <c r="H890" s="226"/>
    </row>
    <row r="891" spans="8:8" ht="13">
      <c r="H891" s="226"/>
    </row>
    <row r="892" spans="8:8" ht="13">
      <c r="H892" s="226"/>
    </row>
    <row r="893" spans="8:8" ht="13">
      <c r="H893" s="226"/>
    </row>
    <row r="894" spans="8:8" ht="13">
      <c r="H894" s="226"/>
    </row>
    <row r="895" spans="8:8" ht="13">
      <c r="H895" s="226"/>
    </row>
    <row r="896" spans="8:8" ht="13">
      <c r="H896" s="226"/>
    </row>
    <row r="897" spans="8:8" ht="13">
      <c r="H897" s="226"/>
    </row>
    <row r="898" spans="8:8" ht="13">
      <c r="H898" s="226"/>
    </row>
    <row r="899" spans="8:8" ht="13">
      <c r="H899" s="226"/>
    </row>
    <row r="900" spans="8:8" ht="13">
      <c r="H900" s="226"/>
    </row>
    <row r="901" spans="8:8" ht="13">
      <c r="H901" s="226"/>
    </row>
    <row r="902" spans="8:8" ht="13">
      <c r="H902" s="226"/>
    </row>
    <row r="903" spans="8:8" ht="13">
      <c r="H903" s="226"/>
    </row>
    <row r="904" spans="8:8" ht="13">
      <c r="H904" s="226"/>
    </row>
    <row r="905" spans="8:8" ht="13">
      <c r="H905" s="226"/>
    </row>
    <row r="906" spans="8:8" ht="13">
      <c r="H906" s="226"/>
    </row>
    <row r="907" spans="8:8" ht="13">
      <c r="H907" s="226"/>
    </row>
    <row r="908" spans="8:8" ht="13">
      <c r="H908" s="226"/>
    </row>
    <row r="909" spans="8:8" ht="13">
      <c r="H909" s="226"/>
    </row>
    <row r="910" spans="8:8" ht="13">
      <c r="H910" s="226"/>
    </row>
    <row r="911" spans="8:8" ht="13">
      <c r="H911" s="226"/>
    </row>
    <row r="912" spans="8:8" ht="13">
      <c r="H912" s="226"/>
    </row>
    <row r="913" spans="8:8" ht="13">
      <c r="H913" s="226"/>
    </row>
    <row r="914" spans="8:8" ht="13">
      <c r="H914" s="226"/>
    </row>
    <row r="915" spans="8:8" ht="13">
      <c r="H915" s="226"/>
    </row>
    <row r="916" spans="8:8" ht="13">
      <c r="H916" s="226"/>
    </row>
    <row r="917" spans="8:8" ht="13">
      <c r="H917" s="226"/>
    </row>
    <row r="918" spans="8:8" ht="13">
      <c r="H918" s="226"/>
    </row>
    <row r="919" spans="8:8" ht="13">
      <c r="H919" s="226"/>
    </row>
    <row r="920" spans="8:8" ht="13">
      <c r="H920" s="226"/>
    </row>
    <row r="921" spans="8:8" ht="13">
      <c r="H921" s="226"/>
    </row>
    <row r="922" spans="8:8" ht="13">
      <c r="H922" s="226"/>
    </row>
    <row r="923" spans="8:8" ht="13">
      <c r="H923" s="226"/>
    </row>
    <row r="924" spans="8:8" ht="13">
      <c r="H924" s="226"/>
    </row>
    <row r="925" spans="8:8" ht="13">
      <c r="H925" s="226"/>
    </row>
    <row r="926" spans="8:8" ht="13">
      <c r="H926" s="226"/>
    </row>
    <row r="927" spans="8:8" ht="13">
      <c r="H927" s="226"/>
    </row>
    <row r="928" spans="8:8" ht="13">
      <c r="H928" s="226"/>
    </row>
    <row r="929" spans="8:8" ht="13">
      <c r="H929" s="226"/>
    </row>
    <row r="930" spans="8:8" ht="13">
      <c r="H930" s="226"/>
    </row>
    <row r="931" spans="8:8" ht="13">
      <c r="H931" s="226"/>
    </row>
    <row r="932" spans="8:8" ht="13">
      <c r="H932" s="226"/>
    </row>
    <row r="933" spans="8:8" ht="13">
      <c r="H933" s="226"/>
    </row>
    <row r="934" spans="8:8" ht="13">
      <c r="H934" s="226"/>
    </row>
    <row r="935" spans="8:8" ht="13">
      <c r="H935" s="226"/>
    </row>
    <row r="936" spans="8:8" ht="13">
      <c r="H936" s="226"/>
    </row>
    <row r="937" spans="8:8" ht="13">
      <c r="H937" s="226"/>
    </row>
    <row r="938" spans="8:8" ht="13">
      <c r="H938" s="226"/>
    </row>
    <row r="939" spans="8:8" ht="13">
      <c r="H939" s="226"/>
    </row>
    <row r="940" spans="8:8" ht="13">
      <c r="H940" s="226"/>
    </row>
    <row r="941" spans="8:8" ht="13">
      <c r="H941" s="226"/>
    </row>
    <row r="942" spans="8:8" ht="13">
      <c r="H942" s="226"/>
    </row>
    <row r="943" spans="8:8" ht="13">
      <c r="H943" s="226"/>
    </row>
    <row r="944" spans="8:8" ht="13">
      <c r="H944" s="226"/>
    </row>
    <row r="945" spans="8:8" ht="13">
      <c r="H945" s="226"/>
    </row>
    <row r="946" spans="8:8" ht="13">
      <c r="H946" s="226"/>
    </row>
    <row r="947" spans="8:8" ht="13">
      <c r="H947" s="226"/>
    </row>
    <row r="948" spans="8:8" ht="13">
      <c r="H948" s="226"/>
    </row>
    <row r="949" spans="8:8" ht="13">
      <c r="H949" s="226"/>
    </row>
    <row r="950" spans="8:8" ht="13">
      <c r="H950" s="226"/>
    </row>
    <row r="951" spans="8:8" ht="13">
      <c r="H951" s="226"/>
    </row>
    <row r="952" spans="8:8" ht="13">
      <c r="H952" s="226"/>
    </row>
    <row r="953" spans="8:8" ht="13">
      <c r="H953" s="226"/>
    </row>
    <row r="954" spans="8:8" ht="13">
      <c r="H954" s="226"/>
    </row>
    <row r="955" spans="8:8" ht="13">
      <c r="H955" s="226"/>
    </row>
    <row r="956" spans="8:8" ht="13">
      <c r="H956" s="226"/>
    </row>
    <row r="957" spans="8:8" ht="13">
      <c r="H957" s="226"/>
    </row>
    <row r="958" spans="8:8" ht="13">
      <c r="H958" s="226"/>
    </row>
    <row r="959" spans="8:8" ht="13">
      <c r="H959" s="226"/>
    </row>
    <row r="960" spans="8:8" ht="13">
      <c r="H960" s="226"/>
    </row>
    <row r="961" spans="8:8" ht="13">
      <c r="H961" s="226"/>
    </row>
    <row r="962" spans="8:8" ht="13">
      <c r="H962" s="226"/>
    </row>
    <row r="963" spans="8:8" ht="13">
      <c r="H963" s="226"/>
    </row>
    <row r="964" spans="8:8" ht="13">
      <c r="H964" s="226"/>
    </row>
    <row r="965" spans="8:8" ht="13">
      <c r="H965" s="226"/>
    </row>
    <row r="966" spans="8:8" ht="13">
      <c r="H966" s="226"/>
    </row>
    <row r="967" spans="8:8" ht="13">
      <c r="H967" s="226"/>
    </row>
    <row r="968" spans="8:8" ht="13">
      <c r="H968" s="226"/>
    </row>
    <row r="969" spans="8:8" ht="13">
      <c r="H969" s="226"/>
    </row>
    <row r="970" spans="8:8" ht="13">
      <c r="H970" s="226"/>
    </row>
    <row r="971" spans="8:8" ht="13">
      <c r="H971" s="226"/>
    </row>
    <row r="972" spans="8:8" ht="13">
      <c r="H972" s="226"/>
    </row>
    <row r="973" spans="8:8" ht="13">
      <c r="H973" s="226"/>
    </row>
    <row r="974" spans="8:8" ht="13">
      <c r="H974" s="226"/>
    </row>
    <row r="975" spans="8:8" ht="13">
      <c r="H975" s="226"/>
    </row>
    <row r="976" spans="8:8" ht="13">
      <c r="H976" s="226"/>
    </row>
    <row r="977" spans="8:8" ht="13">
      <c r="H977" s="226"/>
    </row>
    <row r="978" spans="8:8" ht="13">
      <c r="H978" s="226"/>
    </row>
    <row r="979" spans="8:8" ht="13">
      <c r="H979" s="226"/>
    </row>
    <row r="980" spans="8:8" ht="13">
      <c r="H980" s="226"/>
    </row>
    <row r="981" spans="8:8" ht="13">
      <c r="H981" s="226"/>
    </row>
    <row r="982" spans="8:8" ht="13">
      <c r="H982" s="226"/>
    </row>
    <row r="983" spans="8:8" ht="13">
      <c r="H983" s="226"/>
    </row>
    <row r="984" spans="8:8" ht="13">
      <c r="H984" s="226"/>
    </row>
    <row r="985" spans="8:8" ht="13">
      <c r="H985" s="226"/>
    </row>
    <row r="986" spans="8:8" ht="13">
      <c r="H986" s="226"/>
    </row>
    <row r="987" spans="8:8" ht="13">
      <c r="H987" s="226"/>
    </row>
    <row r="988" spans="8:8" ht="13">
      <c r="H988" s="226"/>
    </row>
    <row r="989" spans="8:8" ht="13">
      <c r="H989" s="226"/>
    </row>
    <row r="990" spans="8:8" ht="13">
      <c r="H990" s="226"/>
    </row>
    <row r="991" spans="8:8" ht="13">
      <c r="H991" s="226"/>
    </row>
    <row r="992" spans="8:8" ht="13">
      <c r="H992" s="226"/>
    </row>
    <row r="993" spans="8:8" ht="13">
      <c r="H993" s="226"/>
    </row>
    <row r="994" spans="8:8" ht="13">
      <c r="H994" s="226"/>
    </row>
    <row r="995" spans="8:8" ht="13">
      <c r="H995" s="226"/>
    </row>
    <row r="996" spans="8:8" ht="13">
      <c r="H996" s="226"/>
    </row>
    <row r="997" spans="8:8" ht="13">
      <c r="H997" s="226"/>
    </row>
    <row r="998" spans="8:8" ht="13">
      <c r="H998" s="226"/>
    </row>
    <row r="999" spans="8:8" ht="13">
      <c r="H999" s="226"/>
    </row>
    <row r="1000" spans="8:8" ht="13">
      <c r="H1000" s="226"/>
    </row>
    <row r="1001" spans="8:8" ht="13">
      <c r="H1001" s="226"/>
    </row>
    <row r="1002" spans="8:8" ht="13">
      <c r="H1002" s="226"/>
    </row>
    <row r="1003" spans="8:8" ht="13">
      <c r="H1003" s="226"/>
    </row>
    <row r="1004" spans="8:8" ht="13">
      <c r="H1004" s="226"/>
    </row>
    <row r="1005" spans="8:8" ht="13">
      <c r="H1005" s="226"/>
    </row>
    <row r="1006" spans="8:8" ht="13">
      <c r="H1006" s="226"/>
    </row>
    <row r="1007" spans="8:8" ht="13">
      <c r="H1007" s="226"/>
    </row>
    <row r="1008" spans="8:8" ht="13">
      <c r="H1008" s="226"/>
    </row>
    <row r="1009" spans="8:8" ht="13">
      <c r="H1009" s="226"/>
    </row>
    <row r="1010" spans="8:8" ht="13">
      <c r="H1010" s="226"/>
    </row>
    <row r="1011" spans="8:8" ht="13">
      <c r="H1011" s="226"/>
    </row>
    <row r="1012" spans="8:8" ht="13">
      <c r="H1012" s="226"/>
    </row>
    <row r="1013" spans="8:8" ht="13">
      <c r="H1013" s="226"/>
    </row>
    <row r="1014" spans="8:8" ht="13">
      <c r="H1014" s="226"/>
    </row>
    <row r="1015" spans="8:8" ht="13">
      <c r="H1015" s="226"/>
    </row>
    <row r="1016" spans="8:8" ht="13">
      <c r="H1016" s="226"/>
    </row>
    <row r="1017" spans="8:8" ht="13">
      <c r="H1017" s="226"/>
    </row>
    <row r="1018" spans="8:8" ht="13">
      <c r="H1018" s="226"/>
    </row>
    <row r="1019" spans="8:8" ht="13">
      <c r="H1019" s="226"/>
    </row>
    <row r="1020" spans="8:8" ht="13">
      <c r="H1020" s="226"/>
    </row>
    <row r="1021" spans="8:8" ht="13">
      <c r="H1021" s="226"/>
    </row>
    <row r="1022" spans="8:8" ht="13">
      <c r="H1022" s="226"/>
    </row>
    <row r="1023" spans="8:8" ht="13">
      <c r="H1023" s="226"/>
    </row>
    <row r="1024" spans="8:8" ht="13">
      <c r="H1024" s="226"/>
    </row>
    <row r="1025" spans="8:8" ht="13">
      <c r="H1025" s="226"/>
    </row>
    <row r="1026" spans="8:8" ht="13">
      <c r="H1026" s="226"/>
    </row>
    <row r="1027" spans="8:8" ht="13">
      <c r="H1027" s="226"/>
    </row>
    <row r="1028" spans="8:8" ht="13">
      <c r="H1028" s="226"/>
    </row>
    <row r="1029" spans="8:8" ht="13">
      <c r="H1029" s="226"/>
    </row>
    <row r="1030" spans="8:8" ht="13">
      <c r="H1030" s="226"/>
    </row>
    <row r="1031" spans="8:8" ht="13">
      <c r="H1031" s="226"/>
    </row>
    <row r="1032" spans="8:8" ht="13">
      <c r="H1032" s="226"/>
    </row>
    <row r="1033" spans="8:8" ht="13">
      <c r="H1033" s="226"/>
    </row>
    <row r="1034" spans="8:8" ht="13">
      <c r="H1034" s="226"/>
    </row>
    <row r="1035" spans="8:8" ht="13">
      <c r="H1035" s="226"/>
    </row>
    <row r="1036" spans="8:8" ht="13">
      <c r="H1036" s="226"/>
    </row>
    <row r="1037" spans="8:8" ht="13">
      <c r="H1037" s="226"/>
    </row>
    <row r="1038" spans="8:8" ht="13">
      <c r="H1038" s="226"/>
    </row>
    <row r="1039" spans="8:8" ht="13">
      <c r="H1039" s="226"/>
    </row>
    <row r="1040" spans="8:8" ht="13">
      <c r="H1040" s="226"/>
    </row>
    <row r="1041" spans="8:8" ht="13">
      <c r="H1041" s="226"/>
    </row>
    <row r="1042" spans="8:8" ht="13">
      <c r="H1042" s="226"/>
    </row>
    <row r="1043" spans="8:8" ht="13">
      <c r="H1043" s="226"/>
    </row>
    <row r="1044" spans="8:8" ht="13">
      <c r="H1044" s="226"/>
    </row>
    <row r="1045" spans="8:8" ht="13">
      <c r="H1045" s="226"/>
    </row>
    <row r="1046" spans="8:8" ht="13">
      <c r="H1046" s="226"/>
    </row>
    <row r="1047" spans="8:8" ht="13">
      <c r="H1047" s="226"/>
    </row>
    <row r="1048" spans="8:8" ht="13">
      <c r="H1048" s="226"/>
    </row>
    <row r="1049" spans="8:8" ht="13">
      <c r="H1049" s="226"/>
    </row>
    <row r="1050" spans="8:8" ht="13">
      <c r="H1050" s="226"/>
    </row>
    <row r="1051" spans="8:8" ht="13">
      <c r="H1051" s="226"/>
    </row>
    <row r="1052" spans="8:8" ht="13">
      <c r="H1052" s="226"/>
    </row>
    <row r="1053" spans="8:8" ht="13">
      <c r="H1053" s="226"/>
    </row>
    <row r="1054" spans="8:8" ht="13">
      <c r="H1054" s="226"/>
    </row>
    <row r="1055" spans="8:8" ht="13">
      <c r="H1055" s="226"/>
    </row>
    <row r="1056" spans="8:8" ht="13">
      <c r="H1056" s="226"/>
    </row>
    <row r="1057" spans="8:8" ht="13">
      <c r="H1057" s="226"/>
    </row>
    <row r="1058" spans="8:8" ht="13">
      <c r="H1058" s="226"/>
    </row>
  </sheetData>
  <autoFilter ref="A1:U130" xr:uid="{00000000-0009-0000-0000-000007000000}">
    <filterColumn colId="18">
      <filters>
        <filter val="Sony"/>
      </filters>
    </filterColumn>
  </autoFilter>
  <conditionalFormatting sqref="C79:C130">
    <cfRule type="colorScale" priority="1">
      <colorScale>
        <cfvo type="formula" val="10"/>
        <cfvo type="formula" val="50"/>
        <cfvo type="formula" val="400"/>
        <color rgb="FFCFE2F3"/>
        <color rgb="FF709CE0"/>
        <color rgb="FF1155CC"/>
      </colorScale>
    </cfRule>
  </conditionalFormatting>
  <conditionalFormatting sqref="A79:A130">
    <cfRule type="expression" dxfId="300" priority="2">
      <formula>(TODAY()-T79)&lt;0</formula>
    </cfRule>
  </conditionalFormatting>
  <conditionalFormatting sqref="A79:A130">
    <cfRule type="expression" dxfId="299" priority="3">
      <formula>(TODAY()-T79)&lt;180</formula>
    </cfRule>
  </conditionalFormatting>
  <conditionalFormatting sqref="G79:G130">
    <cfRule type="cellIs" dxfId="298" priority="4" operator="equal">
      <formula>"MF"</formula>
    </cfRule>
  </conditionalFormatting>
  <conditionalFormatting sqref="I79:I130">
    <cfRule type="cellIs" dxfId="297" priority="5" operator="between">
      <formula>0.24</formula>
      <formula>0.45</formula>
    </cfRule>
  </conditionalFormatting>
  <conditionalFormatting sqref="I79:I130">
    <cfRule type="cellIs" dxfId="296" priority="6" operator="between">
      <formula>0.45</formula>
      <formula>0.99</formula>
    </cfRule>
  </conditionalFormatting>
  <conditionalFormatting sqref="I79:I130">
    <cfRule type="cellIs" dxfId="295" priority="7" operator="greaterThan">
      <formula>0.99</formula>
    </cfRule>
  </conditionalFormatting>
  <conditionalFormatting sqref="B1 B3:B1058">
    <cfRule type="cellIs" dxfId="294" priority="8" operator="between">
      <formula>50</formula>
      <formula>200</formula>
    </cfRule>
  </conditionalFormatting>
  <conditionalFormatting sqref="B1 B3:B1058">
    <cfRule type="cellIs" dxfId="293" priority="9" operator="between">
      <formula>201</formula>
      <formula>400</formula>
    </cfRule>
  </conditionalFormatting>
  <conditionalFormatting sqref="B3:B1053">
    <cfRule type="cellIs" dxfId="292" priority="10" operator="between">
      <formula>401</formula>
      <formula>650</formula>
    </cfRule>
  </conditionalFormatting>
  <conditionalFormatting sqref="B3:B1053">
    <cfRule type="cellIs" dxfId="291" priority="11" operator="between">
      <formula>651</formula>
      <formula>900</formula>
    </cfRule>
  </conditionalFormatting>
  <conditionalFormatting sqref="B3:B1053">
    <cfRule type="cellIs" dxfId="290" priority="12" operator="greaterThan">
      <formula>900</formula>
    </cfRule>
  </conditionalFormatting>
  <conditionalFormatting sqref="P3:P1053">
    <cfRule type="containsText" dxfId="289" priority="13" operator="containsText" text="yes">
      <formula>NOT(ISERROR(SEARCH(("yes"),(P3))))</formula>
    </cfRule>
  </conditionalFormatting>
  <conditionalFormatting sqref="F1:F1058">
    <cfRule type="colorScale" priority="14">
      <colorScale>
        <cfvo type="min"/>
        <cfvo type="formula" val="150"/>
        <color rgb="FFEAD1DC"/>
        <color rgb="FFA64D79"/>
      </colorScale>
    </cfRule>
  </conditionalFormatting>
  <conditionalFormatting sqref="D3:D130">
    <cfRule type="colorScale" priority="15">
      <colorScale>
        <cfvo type="formula" val="1.2"/>
        <cfvo type="formula" val="4"/>
        <color rgb="FF0B5394"/>
        <color rgb="FFFFFFFF"/>
      </colorScale>
    </cfRule>
  </conditionalFormatting>
  <conditionalFormatting sqref="E3:E130">
    <cfRule type="colorScale" priority="16">
      <colorScale>
        <cfvo type="formula" val="65"/>
        <cfvo type="formula" val="100"/>
        <color rgb="FFD9D2E9"/>
        <color rgb="FF674EA7"/>
      </colorScale>
    </cfRule>
  </conditionalFormatting>
  <conditionalFormatting sqref="D3:D130">
    <cfRule type="containsText" dxfId="288" priority="17" operator="containsText" text="1.2">
      <formula>NOT(ISERROR(SEARCH(("1.2"),(D3))))</formula>
    </cfRule>
  </conditionalFormatting>
  <conditionalFormatting sqref="B3:B1053">
    <cfRule type="cellIs" dxfId="287" priority="18" operator="between">
      <formula>651</formula>
      <formula>900</formula>
    </cfRule>
  </conditionalFormatting>
  <conditionalFormatting sqref="D3:D130">
    <cfRule type="containsText" dxfId="286" priority="19" operator="containsText" text="1.4">
      <formula>NOT(ISERROR(SEARCH(("1.4"),(D3))))</formula>
    </cfRule>
  </conditionalFormatting>
  <conditionalFormatting sqref="D3:D130 E3:AA81">
    <cfRule type="containsText" dxfId="285" priority="20" operator="containsText" text="1.8">
      <formula>NOT(ISERROR(SEARCH(("1.8"),(D3))))</formula>
    </cfRule>
  </conditionalFormatting>
  <conditionalFormatting sqref="F1:F1058">
    <cfRule type="colorScale" priority="21">
      <colorScale>
        <cfvo type="min"/>
        <cfvo type="formula" val="150"/>
        <color rgb="FFEAD1DC"/>
        <color rgb="FFA64D79"/>
      </colorScale>
    </cfRule>
  </conditionalFormatting>
  <conditionalFormatting sqref="D3:D81">
    <cfRule type="colorScale" priority="22">
      <colorScale>
        <cfvo type="formula" val="1.2"/>
        <cfvo type="formula" val="4"/>
        <color rgb="FF0B5394"/>
        <color rgb="FFFFFFFF"/>
      </colorScale>
    </cfRule>
  </conditionalFormatting>
  <conditionalFormatting sqref="E3:E81">
    <cfRule type="colorScale" priority="23">
      <colorScale>
        <cfvo type="formula" val="65"/>
        <cfvo type="formula" val="100"/>
        <color rgb="FFD9D2E9"/>
        <color rgb="FF674EA7"/>
      </colorScale>
    </cfRule>
  </conditionalFormatting>
  <conditionalFormatting sqref="D3:D81">
    <cfRule type="containsText" dxfId="284" priority="24" operator="containsText" text="1.2">
      <formula>NOT(ISERROR(SEARCH(("1.2"),(D3))))</formula>
    </cfRule>
  </conditionalFormatting>
  <conditionalFormatting sqref="B3:B1053">
    <cfRule type="cellIs" dxfId="283" priority="25" operator="between">
      <formula>651</formula>
      <formula>900</formula>
    </cfRule>
  </conditionalFormatting>
  <conditionalFormatting sqref="D3:D81">
    <cfRule type="containsText" dxfId="282" priority="26" operator="containsText" text="1.4">
      <formula>NOT(ISERROR(SEARCH(("1.4"),(D3))))</formula>
    </cfRule>
  </conditionalFormatting>
  <conditionalFormatting sqref="D3:AA81">
    <cfRule type="containsText" dxfId="281" priority="27" operator="containsText" text="1.8">
      <formula>NOT(ISERROR(SEARCH(("1.8"),(D3))))</formula>
    </cfRule>
  </conditionalFormatting>
  <conditionalFormatting sqref="F1:F1058">
    <cfRule type="colorScale" priority="28">
      <colorScale>
        <cfvo type="min"/>
        <cfvo type="formula" val="150"/>
        <color rgb="FFEAD1DC"/>
        <color rgb="FFA64D79"/>
      </colorScale>
    </cfRule>
  </conditionalFormatting>
  <conditionalFormatting sqref="D3:D81">
    <cfRule type="colorScale" priority="29">
      <colorScale>
        <cfvo type="formula" val="1.2"/>
        <cfvo type="formula" val="4"/>
        <color rgb="FF0B5394"/>
        <color rgb="FFFFFFFF"/>
      </colorScale>
    </cfRule>
  </conditionalFormatting>
  <conditionalFormatting sqref="E3:E81">
    <cfRule type="colorScale" priority="30">
      <colorScale>
        <cfvo type="formula" val="65"/>
        <cfvo type="formula" val="100"/>
        <color rgb="FFD9D2E9"/>
        <color rgb="FF674EA7"/>
      </colorScale>
    </cfRule>
  </conditionalFormatting>
  <conditionalFormatting sqref="D3:D81">
    <cfRule type="containsText" dxfId="280" priority="31" operator="containsText" text="1.2">
      <formula>NOT(ISERROR(SEARCH(("1.2"),(D3))))</formula>
    </cfRule>
  </conditionalFormatting>
  <conditionalFormatting sqref="B3:B1053">
    <cfRule type="cellIs" dxfId="279" priority="32" operator="between">
      <formula>651</formula>
      <formula>900</formula>
    </cfRule>
  </conditionalFormatting>
  <conditionalFormatting sqref="D3:D81">
    <cfRule type="containsText" dxfId="278" priority="33" operator="containsText" text="1.4">
      <formula>NOT(ISERROR(SEARCH(("1.4"),(D3))))</formula>
    </cfRule>
  </conditionalFormatting>
  <conditionalFormatting sqref="D3:AA81">
    <cfRule type="containsText" dxfId="277" priority="34" operator="containsText" text="1.8">
      <formula>NOT(ISERROR(SEARCH(("1.8"),(D3))))</formula>
    </cfRule>
  </conditionalFormatting>
  <conditionalFormatting sqref="F1:F1058">
    <cfRule type="colorScale" priority="35">
      <colorScale>
        <cfvo type="min"/>
        <cfvo type="formula" val="150"/>
        <color rgb="FFEAD1DC"/>
        <color rgb="FFA64D79"/>
      </colorScale>
    </cfRule>
  </conditionalFormatting>
  <conditionalFormatting sqref="D3:D81">
    <cfRule type="colorScale" priority="36">
      <colorScale>
        <cfvo type="formula" val="1.2"/>
        <cfvo type="formula" val="4"/>
        <color rgb="FF0B5394"/>
        <color rgb="FFFFFFFF"/>
      </colorScale>
    </cfRule>
  </conditionalFormatting>
  <conditionalFormatting sqref="E3:E81">
    <cfRule type="colorScale" priority="37">
      <colorScale>
        <cfvo type="formula" val="65"/>
        <cfvo type="formula" val="100"/>
        <color rgb="FFD9D2E9"/>
        <color rgb="FF674EA7"/>
      </colorScale>
    </cfRule>
  </conditionalFormatting>
  <conditionalFormatting sqref="D3:D81">
    <cfRule type="containsText" dxfId="276" priority="38" operator="containsText" text="1.2">
      <formula>NOT(ISERROR(SEARCH(("1.2"),(D3))))</formula>
    </cfRule>
  </conditionalFormatting>
  <conditionalFormatting sqref="B3:B1053">
    <cfRule type="cellIs" dxfId="275" priority="39" operator="between">
      <formula>651</formula>
      <formula>900</formula>
    </cfRule>
  </conditionalFormatting>
  <conditionalFormatting sqref="D3:D81">
    <cfRule type="containsText" dxfId="274" priority="40" operator="containsText" text="1.4">
      <formula>NOT(ISERROR(SEARCH(("1.4"),(D3))))</formula>
    </cfRule>
  </conditionalFormatting>
  <conditionalFormatting sqref="D3:AA81">
    <cfRule type="containsText" dxfId="273" priority="41" operator="containsText" text="1.8">
      <formula>NOT(ISERROR(SEARCH(("1.8"),(D3))))</formula>
    </cfRule>
  </conditionalFormatting>
  <conditionalFormatting sqref="F1:F1058">
    <cfRule type="colorScale" priority="42">
      <colorScale>
        <cfvo type="min"/>
        <cfvo type="formula" val="150"/>
        <color rgb="FFEAD1DC"/>
        <color rgb="FFA64D79"/>
      </colorScale>
    </cfRule>
  </conditionalFormatting>
  <conditionalFormatting sqref="D3:D81">
    <cfRule type="colorScale" priority="43">
      <colorScale>
        <cfvo type="formula" val="1.2"/>
        <cfvo type="formula" val="4"/>
        <color rgb="FF0B5394"/>
        <color rgb="FFFFFFFF"/>
      </colorScale>
    </cfRule>
  </conditionalFormatting>
  <conditionalFormatting sqref="E3:E81">
    <cfRule type="colorScale" priority="44">
      <colorScale>
        <cfvo type="formula" val="65"/>
        <cfvo type="formula" val="100"/>
        <color rgb="FFD9D2E9"/>
        <color rgb="FF674EA7"/>
      </colorScale>
    </cfRule>
  </conditionalFormatting>
  <conditionalFormatting sqref="D3:D81">
    <cfRule type="containsText" dxfId="272" priority="45" operator="containsText" text="1.2">
      <formula>NOT(ISERROR(SEARCH(("1.2"),(D3))))</formula>
    </cfRule>
  </conditionalFormatting>
  <conditionalFormatting sqref="B3:B1053">
    <cfRule type="cellIs" dxfId="271" priority="46" operator="between">
      <formula>651</formula>
      <formula>900</formula>
    </cfRule>
  </conditionalFormatting>
  <conditionalFormatting sqref="D3:D81">
    <cfRule type="containsText" dxfId="270" priority="47" operator="containsText" text="1.4">
      <formula>NOT(ISERROR(SEARCH(("1.4"),(D3))))</formula>
    </cfRule>
  </conditionalFormatting>
  <conditionalFormatting sqref="D3:AA81">
    <cfRule type="containsText" dxfId="269" priority="48" operator="containsText" text="1.8">
      <formula>NOT(ISERROR(SEARCH(("1.8"),(D3))))</formula>
    </cfRule>
  </conditionalFormatting>
  <conditionalFormatting sqref="F1:F1058">
    <cfRule type="colorScale" priority="49">
      <colorScale>
        <cfvo type="min"/>
        <cfvo type="formula" val="150"/>
        <color rgb="FFEAD1DC"/>
        <color rgb="FFA64D79"/>
      </colorScale>
    </cfRule>
  </conditionalFormatting>
  <conditionalFormatting sqref="D3:D81">
    <cfRule type="colorScale" priority="50">
      <colorScale>
        <cfvo type="formula" val="1.2"/>
        <cfvo type="formula" val="4"/>
        <color rgb="FF0B5394"/>
        <color rgb="FFFFFFFF"/>
      </colorScale>
    </cfRule>
  </conditionalFormatting>
  <conditionalFormatting sqref="E3:E81">
    <cfRule type="colorScale" priority="51">
      <colorScale>
        <cfvo type="formula" val="65"/>
        <cfvo type="formula" val="100"/>
        <color rgb="FFD9D2E9"/>
        <color rgb="FF674EA7"/>
      </colorScale>
    </cfRule>
  </conditionalFormatting>
  <conditionalFormatting sqref="D3:D81">
    <cfRule type="containsText" dxfId="268" priority="52" operator="containsText" text="1.2">
      <formula>NOT(ISERROR(SEARCH(("1.2"),(D3))))</formula>
    </cfRule>
  </conditionalFormatting>
  <conditionalFormatting sqref="B3:B1053">
    <cfRule type="cellIs" dxfId="267" priority="53" operator="between">
      <formula>651</formula>
      <formula>900</formula>
    </cfRule>
  </conditionalFormatting>
  <conditionalFormatting sqref="D3:D81">
    <cfRule type="containsText" dxfId="266" priority="54" operator="containsText" text="1.4">
      <formula>NOT(ISERROR(SEARCH(("1.4"),(D3))))</formula>
    </cfRule>
  </conditionalFormatting>
  <conditionalFormatting sqref="D3:AA81">
    <cfRule type="containsText" dxfId="265" priority="55" operator="containsText" text="1.8">
      <formula>NOT(ISERROR(SEARCH(("1.8"),(D3))))</formula>
    </cfRule>
  </conditionalFormatting>
  <conditionalFormatting sqref="F1:F1058">
    <cfRule type="colorScale" priority="56">
      <colorScale>
        <cfvo type="min"/>
        <cfvo type="formula" val="150"/>
        <color rgb="FFEAD1DC"/>
        <color rgb="FFA64D79"/>
      </colorScale>
    </cfRule>
  </conditionalFormatting>
  <conditionalFormatting sqref="D3:D81">
    <cfRule type="colorScale" priority="57">
      <colorScale>
        <cfvo type="formula" val="1.2"/>
        <cfvo type="formula" val="4"/>
        <color rgb="FF0B5394"/>
        <color rgb="FFFFFFFF"/>
      </colorScale>
    </cfRule>
  </conditionalFormatting>
  <conditionalFormatting sqref="E3:E81">
    <cfRule type="colorScale" priority="58">
      <colorScale>
        <cfvo type="formula" val="65"/>
        <cfvo type="formula" val="100"/>
        <color rgb="FFD9D2E9"/>
        <color rgb="FF674EA7"/>
      </colorScale>
    </cfRule>
  </conditionalFormatting>
  <conditionalFormatting sqref="D3:D81">
    <cfRule type="containsText" dxfId="264" priority="59" operator="containsText" text="1.2">
      <formula>NOT(ISERROR(SEARCH(("1.2"),(D3))))</formula>
    </cfRule>
  </conditionalFormatting>
  <conditionalFormatting sqref="B3:B1053">
    <cfRule type="cellIs" dxfId="263" priority="60" operator="between">
      <formula>651</formula>
      <formula>900</formula>
    </cfRule>
  </conditionalFormatting>
  <conditionalFormatting sqref="D3:D81">
    <cfRule type="containsText" dxfId="262" priority="61" operator="containsText" text="1.4">
      <formula>NOT(ISERROR(SEARCH(("1.4"),(D3))))</formula>
    </cfRule>
  </conditionalFormatting>
  <conditionalFormatting sqref="D3:AA81">
    <cfRule type="containsText" dxfId="261" priority="62" operator="containsText" text="1.8">
      <formula>NOT(ISERROR(SEARCH(("1.8"),(D3))))</formula>
    </cfRule>
  </conditionalFormatting>
  <conditionalFormatting sqref="F1:F1058">
    <cfRule type="colorScale" priority="63">
      <colorScale>
        <cfvo type="min"/>
        <cfvo type="formula" val="150"/>
        <color rgb="FFEAD1DC"/>
        <color rgb="FFA64D79"/>
      </colorScale>
    </cfRule>
  </conditionalFormatting>
  <conditionalFormatting sqref="D3:D81">
    <cfRule type="colorScale" priority="64">
      <colorScale>
        <cfvo type="formula" val="1.2"/>
        <cfvo type="formula" val="4"/>
        <color rgb="FF0B5394"/>
        <color rgb="FFFFFFFF"/>
      </colorScale>
    </cfRule>
  </conditionalFormatting>
  <conditionalFormatting sqref="E3:E81">
    <cfRule type="colorScale" priority="65">
      <colorScale>
        <cfvo type="formula" val="65"/>
        <cfvo type="formula" val="100"/>
        <color rgb="FFD9D2E9"/>
        <color rgb="FF674EA7"/>
      </colorScale>
    </cfRule>
  </conditionalFormatting>
  <conditionalFormatting sqref="D3:D81">
    <cfRule type="containsText" dxfId="260" priority="66" operator="containsText" text="1.2">
      <formula>NOT(ISERROR(SEARCH(("1.2"),(D3))))</formula>
    </cfRule>
  </conditionalFormatting>
  <conditionalFormatting sqref="B3:B1053">
    <cfRule type="cellIs" dxfId="259" priority="67" operator="between">
      <formula>651</formula>
      <formula>900</formula>
    </cfRule>
  </conditionalFormatting>
  <conditionalFormatting sqref="D3:D81">
    <cfRule type="containsText" dxfId="258" priority="68" operator="containsText" text="1.4">
      <formula>NOT(ISERROR(SEARCH(("1.4"),(D3))))</formula>
    </cfRule>
  </conditionalFormatting>
  <conditionalFormatting sqref="D3:AA81">
    <cfRule type="containsText" dxfId="257" priority="69" operator="containsText" text="1.8">
      <formula>NOT(ISERROR(SEARCH(("1.8"),(D3))))</formula>
    </cfRule>
  </conditionalFormatting>
  <conditionalFormatting sqref="F1:F1058">
    <cfRule type="colorScale" priority="70">
      <colorScale>
        <cfvo type="min"/>
        <cfvo type="formula" val="150"/>
        <color rgb="FFEAD1DC"/>
        <color rgb="FFA64D79"/>
      </colorScale>
    </cfRule>
  </conditionalFormatting>
  <conditionalFormatting sqref="D3:D81">
    <cfRule type="colorScale" priority="71">
      <colorScale>
        <cfvo type="formula" val="1.2"/>
        <cfvo type="formula" val="4"/>
        <color rgb="FF0B5394"/>
        <color rgb="FFFFFFFF"/>
      </colorScale>
    </cfRule>
  </conditionalFormatting>
  <conditionalFormatting sqref="E3:E81">
    <cfRule type="colorScale" priority="72">
      <colorScale>
        <cfvo type="formula" val="65"/>
        <cfvo type="formula" val="100"/>
        <color rgb="FFD9D2E9"/>
        <color rgb="FF674EA7"/>
      </colorScale>
    </cfRule>
  </conditionalFormatting>
  <conditionalFormatting sqref="D3:D81">
    <cfRule type="containsText" dxfId="256" priority="73" operator="containsText" text="1.2">
      <formula>NOT(ISERROR(SEARCH(("1.2"),(D3))))</formula>
    </cfRule>
  </conditionalFormatting>
  <conditionalFormatting sqref="B3:B1053">
    <cfRule type="cellIs" dxfId="255" priority="74" operator="between">
      <formula>651</formula>
      <formula>900</formula>
    </cfRule>
  </conditionalFormatting>
  <conditionalFormatting sqref="D3:D81">
    <cfRule type="containsText" dxfId="254" priority="75" operator="containsText" text="1.4">
      <formula>NOT(ISERROR(SEARCH(("1.4"),(D3))))</formula>
    </cfRule>
  </conditionalFormatting>
  <conditionalFormatting sqref="D3:AA81">
    <cfRule type="containsText" dxfId="253" priority="76" operator="containsText" text="1.8">
      <formula>NOT(ISERROR(SEARCH(("1.8"),(D3))))</formula>
    </cfRule>
  </conditionalFormatting>
  <conditionalFormatting sqref="F1:F1058">
    <cfRule type="colorScale" priority="77">
      <colorScale>
        <cfvo type="min"/>
        <cfvo type="formula" val="150"/>
        <color rgb="FFEAD1DC"/>
        <color rgb="FFA64D79"/>
      </colorScale>
    </cfRule>
  </conditionalFormatting>
  <conditionalFormatting sqref="D3:D81">
    <cfRule type="colorScale" priority="78">
      <colorScale>
        <cfvo type="formula" val="1.2"/>
        <cfvo type="formula" val="4"/>
        <color rgb="FF0B5394"/>
        <color rgb="FFFFFFFF"/>
      </colorScale>
    </cfRule>
  </conditionalFormatting>
  <conditionalFormatting sqref="E3:E81">
    <cfRule type="colorScale" priority="79">
      <colorScale>
        <cfvo type="formula" val="65"/>
        <cfvo type="formula" val="100"/>
        <color rgb="FFD9D2E9"/>
        <color rgb="FF674EA7"/>
      </colorScale>
    </cfRule>
  </conditionalFormatting>
  <conditionalFormatting sqref="D3:D81">
    <cfRule type="containsText" dxfId="252" priority="80" operator="containsText" text="1.2">
      <formula>NOT(ISERROR(SEARCH(("1.2"),(D3))))</formula>
    </cfRule>
  </conditionalFormatting>
  <conditionalFormatting sqref="B3:B1053">
    <cfRule type="cellIs" dxfId="251" priority="81" operator="between">
      <formula>651</formula>
      <formula>900</formula>
    </cfRule>
  </conditionalFormatting>
  <conditionalFormatting sqref="D3:D81">
    <cfRule type="containsText" dxfId="250" priority="82" operator="containsText" text="1.4">
      <formula>NOT(ISERROR(SEARCH(("1.4"),(D3))))</formula>
    </cfRule>
  </conditionalFormatting>
  <conditionalFormatting sqref="D3:AA81">
    <cfRule type="containsText" dxfId="249" priority="83" operator="containsText" text="1.8">
      <formula>NOT(ISERROR(SEARCH(("1.8"),(D3))))</formula>
    </cfRule>
  </conditionalFormatting>
  <conditionalFormatting sqref="F1:F1058">
    <cfRule type="colorScale" priority="84">
      <colorScale>
        <cfvo type="min"/>
        <cfvo type="formula" val="150"/>
        <color rgb="FFEAD1DC"/>
        <color rgb="FFA64D79"/>
      </colorScale>
    </cfRule>
  </conditionalFormatting>
  <conditionalFormatting sqref="D3:D81">
    <cfRule type="colorScale" priority="85">
      <colorScale>
        <cfvo type="formula" val="1.2"/>
        <cfvo type="formula" val="4"/>
        <color rgb="FF0B5394"/>
        <color rgb="FFFFFFFF"/>
      </colorScale>
    </cfRule>
  </conditionalFormatting>
  <conditionalFormatting sqref="E3:E81">
    <cfRule type="colorScale" priority="86">
      <colorScale>
        <cfvo type="formula" val="65"/>
        <cfvo type="formula" val="100"/>
        <color rgb="FFD9D2E9"/>
        <color rgb="FF674EA7"/>
      </colorScale>
    </cfRule>
  </conditionalFormatting>
  <conditionalFormatting sqref="D3:D81">
    <cfRule type="containsText" dxfId="248" priority="87" operator="containsText" text="1.2">
      <formula>NOT(ISERROR(SEARCH(("1.2"),(D3))))</formula>
    </cfRule>
  </conditionalFormatting>
  <conditionalFormatting sqref="B3:B1053">
    <cfRule type="cellIs" dxfId="247" priority="88" operator="between">
      <formula>651</formula>
      <formula>900</formula>
    </cfRule>
  </conditionalFormatting>
  <conditionalFormatting sqref="D3:D81">
    <cfRule type="containsText" dxfId="246" priority="89" operator="containsText" text="1.4">
      <formula>NOT(ISERROR(SEARCH(("1.4"),(D3))))</formula>
    </cfRule>
  </conditionalFormatting>
  <conditionalFormatting sqref="D3:AA81">
    <cfRule type="containsText" dxfId="245" priority="90" operator="containsText" text="1.8">
      <formula>NOT(ISERROR(SEARCH(("1.8"),(D3))))</formula>
    </cfRule>
  </conditionalFormatting>
  <conditionalFormatting sqref="F1:F1058">
    <cfRule type="colorScale" priority="91">
      <colorScale>
        <cfvo type="min"/>
        <cfvo type="formula" val="150"/>
        <color rgb="FFEAD1DC"/>
        <color rgb="FFA64D79"/>
      </colorScale>
    </cfRule>
  </conditionalFormatting>
  <conditionalFormatting sqref="D3:D81">
    <cfRule type="colorScale" priority="92">
      <colorScale>
        <cfvo type="formula" val="1.2"/>
        <cfvo type="formula" val="4"/>
        <color rgb="FF0B5394"/>
        <color rgb="FFFFFFFF"/>
      </colorScale>
    </cfRule>
  </conditionalFormatting>
  <conditionalFormatting sqref="E3:E81">
    <cfRule type="colorScale" priority="93">
      <colorScale>
        <cfvo type="formula" val="65"/>
        <cfvo type="formula" val="100"/>
        <color rgb="FFD9D2E9"/>
        <color rgb="FF674EA7"/>
      </colorScale>
    </cfRule>
  </conditionalFormatting>
  <conditionalFormatting sqref="D3:D81">
    <cfRule type="containsText" dxfId="244" priority="94" operator="containsText" text="1.2">
      <formula>NOT(ISERROR(SEARCH(("1.2"),(D3))))</formula>
    </cfRule>
  </conditionalFormatting>
  <conditionalFormatting sqref="B3:B1053">
    <cfRule type="cellIs" dxfId="243" priority="95" operator="between">
      <formula>651</formula>
      <formula>900</formula>
    </cfRule>
  </conditionalFormatting>
  <conditionalFormatting sqref="D3:D81">
    <cfRule type="containsText" dxfId="242" priority="96" operator="containsText" text="1.4">
      <formula>NOT(ISERROR(SEARCH(("1.4"),(D3))))</formula>
    </cfRule>
  </conditionalFormatting>
  <conditionalFormatting sqref="D3:AA81">
    <cfRule type="containsText" dxfId="241" priority="97" operator="containsText" text="1.8">
      <formula>NOT(ISERROR(SEARCH(("1.8"),(D3))))</formula>
    </cfRule>
  </conditionalFormatting>
  <conditionalFormatting sqref="F1:F1058">
    <cfRule type="colorScale" priority="98">
      <colorScale>
        <cfvo type="min"/>
        <cfvo type="formula" val="150"/>
        <color rgb="FFEAD1DC"/>
        <color rgb="FFA64D79"/>
      </colorScale>
    </cfRule>
  </conditionalFormatting>
  <conditionalFormatting sqref="D3:D81">
    <cfRule type="colorScale" priority="99">
      <colorScale>
        <cfvo type="formula" val="1.2"/>
        <cfvo type="formula" val="4"/>
        <color rgb="FF0B5394"/>
        <color rgb="FFFFFFFF"/>
      </colorScale>
    </cfRule>
  </conditionalFormatting>
  <conditionalFormatting sqref="E3:E81">
    <cfRule type="colorScale" priority="100">
      <colorScale>
        <cfvo type="formula" val="65"/>
        <cfvo type="formula" val="100"/>
        <color rgb="FFD9D2E9"/>
        <color rgb="FF674EA7"/>
      </colorScale>
    </cfRule>
  </conditionalFormatting>
  <conditionalFormatting sqref="D3:D81">
    <cfRule type="containsText" dxfId="240" priority="101" operator="containsText" text="1.2">
      <formula>NOT(ISERROR(SEARCH(("1.2"),(D3))))</formula>
    </cfRule>
  </conditionalFormatting>
  <conditionalFormatting sqref="D12 D33">
    <cfRule type="notContainsBlanks" dxfId="239" priority="102">
      <formula>LEN(TRIM(D12))&gt;0</formula>
    </cfRule>
  </conditionalFormatting>
  <conditionalFormatting sqref="D3:D81">
    <cfRule type="containsText" dxfId="238" priority="103" operator="containsText" text="1.4">
      <formula>NOT(ISERROR(SEARCH(("1.4"),(D3))))</formula>
    </cfRule>
  </conditionalFormatting>
  <conditionalFormatting sqref="D3:AA81">
    <cfRule type="containsText" dxfId="237" priority="104" operator="containsText" text="1.8">
      <formula>NOT(ISERROR(SEARCH(("1.8"),(D3))))</formula>
    </cfRule>
  </conditionalFormatting>
  <conditionalFormatting sqref="F1:F1058">
    <cfRule type="colorScale" priority="105">
      <colorScale>
        <cfvo type="min"/>
        <cfvo type="formula" val="150"/>
        <color rgb="FFEAD1DC"/>
        <color rgb="FFA64D79"/>
      </colorScale>
    </cfRule>
  </conditionalFormatting>
  <conditionalFormatting sqref="D3:D81">
    <cfRule type="colorScale" priority="106">
      <colorScale>
        <cfvo type="formula" val="1.2"/>
        <cfvo type="formula" val="4"/>
        <color rgb="FF0B5394"/>
        <color rgb="FFFFFFFF"/>
      </colorScale>
    </cfRule>
  </conditionalFormatting>
  <conditionalFormatting sqref="E3:E81">
    <cfRule type="colorScale" priority="107">
      <colorScale>
        <cfvo type="formula" val="65"/>
        <cfvo type="formula" val="100"/>
        <color rgb="FFD9D2E9"/>
        <color rgb="FF674EA7"/>
      </colorScale>
    </cfRule>
  </conditionalFormatting>
  <conditionalFormatting sqref="D3:D81">
    <cfRule type="containsText" dxfId="236" priority="108" operator="containsText" text="1.2">
      <formula>NOT(ISERROR(SEARCH(("1.2"),(D3))))</formula>
    </cfRule>
  </conditionalFormatting>
  <conditionalFormatting sqref="B3:B1053">
    <cfRule type="cellIs" dxfId="235" priority="109" operator="between">
      <formula>651</formula>
      <formula>900</formula>
    </cfRule>
  </conditionalFormatting>
  <conditionalFormatting sqref="D3:D81">
    <cfRule type="containsText" dxfId="234" priority="110" operator="containsText" text="1.4">
      <formula>NOT(ISERROR(SEARCH(("1.4"),(D3))))</formula>
    </cfRule>
  </conditionalFormatting>
  <conditionalFormatting sqref="D3:AA81">
    <cfRule type="containsText" dxfId="233" priority="111" operator="containsText" text="1.8">
      <formula>NOT(ISERROR(SEARCH(("1.8"),(D3))))</formula>
    </cfRule>
  </conditionalFormatting>
  <conditionalFormatting sqref="F1:F1058">
    <cfRule type="colorScale" priority="112">
      <colorScale>
        <cfvo type="min"/>
        <cfvo type="formula" val="150"/>
        <color rgb="FFEAD1DC"/>
        <color rgb="FFA64D79"/>
      </colorScale>
    </cfRule>
  </conditionalFormatting>
  <conditionalFormatting sqref="D3:D81">
    <cfRule type="colorScale" priority="113">
      <colorScale>
        <cfvo type="formula" val="1.2"/>
        <cfvo type="formula" val="4"/>
        <color rgb="FF0B5394"/>
        <color rgb="FFFFFFFF"/>
      </colorScale>
    </cfRule>
  </conditionalFormatting>
  <conditionalFormatting sqref="E3:E81">
    <cfRule type="colorScale" priority="114">
      <colorScale>
        <cfvo type="formula" val="65"/>
        <cfvo type="formula" val="100"/>
        <color rgb="FFD9D2E9"/>
        <color rgb="FF674EA7"/>
      </colorScale>
    </cfRule>
  </conditionalFormatting>
  <conditionalFormatting sqref="D3:D81">
    <cfRule type="containsText" dxfId="232" priority="115" operator="containsText" text="1.2">
      <formula>NOT(ISERROR(SEARCH(("1.2"),(D3))))</formula>
    </cfRule>
  </conditionalFormatting>
  <conditionalFormatting sqref="B3:B1053">
    <cfRule type="cellIs" dxfId="231" priority="116" operator="between">
      <formula>651</formula>
      <formula>900</formula>
    </cfRule>
  </conditionalFormatting>
  <conditionalFormatting sqref="D3:D81">
    <cfRule type="containsText" dxfId="230" priority="117" operator="containsText" text="1.4">
      <formula>NOT(ISERROR(SEARCH(("1.4"),(D3))))</formula>
    </cfRule>
  </conditionalFormatting>
  <conditionalFormatting sqref="D3:AA81">
    <cfRule type="containsText" dxfId="229" priority="118" operator="containsText" text="1.8">
      <formula>NOT(ISERROR(SEARCH(("1.8"),(D3))))</formula>
    </cfRule>
  </conditionalFormatting>
  <conditionalFormatting sqref="F1:F1058">
    <cfRule type="colorScale" priority="119">
      <colorScale>
        <cfvo type="min"/>
        <cfvo type="formula" val="150"/>
        <color rgb="FFEAD1DC"/>
        <color rgb="FFA64D79"/>
      </colorScale>
    </cfRule>
  </conditionalFormatting>
  <conditionalFormatting sqref="D3:D81">
    <cfRule type="colorScale" priority="120">
      <colorScale>
        <cfvo type="formula" val="1.2"/>
        <cfvo type="formula" val="4"/>
        <color rgb="FF0B5394"/>
        <color rgb="FFFFFFFF"/>
      </colorScale>
    </cfRule>
  </conditionalFormatting>
  <conditionalFormatting sqref="E3:E81">
    <cfRule type="colorScale" priority="121">
      <colorScale>
        <cfvo type="formula" val="65"/>
        <cfvo type="formula" val="100"/>
        <color rgb="FFD9D2E9"/>
        <color rgb="FF674EA7"/>
      </colorScale>
    </cfRule>
  </conditionalFormatting>
  <conditionalFormatting sqref="D3:D81">
    <cfRule type="containsText" dxfId="228" priority="122" operator="containsText" text="1.2">
      <formula>NOT(ISERROR(SEARCH(("1.2"),(D3))))</formula>
    </cfRule>
  </conditionalFormatting>
  <conditionalFormatting sqref="B3:B1053">
    <cfRule type="cellIs" dxfId="227" priority="123" operator="between">
      <formula>651</formula>
      <formula>900</formula>
    </cfRule>
  </conditionalFormatting>
  <conditionalFormatting sqref="D3:D81">
    <cfRule type="containsText" dxfId="226" priority="124" operator="containsText" text="1.4">
      <formula>NOT(ISERROR(SEARCH(("1.4"),(D3))))</formula>
    </cfRule>
  </conditionalFormatting>
  <conditionalFormatting sqref="D3:AA81">
    <cfRule type="containsText" dxfId="225" priority="125" operator="containsText" text="1.8">
      <formula>NOT(ISERROR(SEARCH(("1.8"),(D3))))</formula>
    </cfRule>
  </conditionalFormatting>
  <conditionalFormatting sqref="F1:F1058">
    <cfRule type="colorScale" priority="126">
      <colorScale>
        <cfvo type="min"/>
        <cfvo type="formula" val="150"/>
        <color rgb="FFEAD1DC"/>
        <color rgb="FFA64D79"/>
      </colorScale>
    </cfRule>
  </conditionalFormatting>
  <conditionalFormatting sqref="D3:D81">
    <cfRule type="colorScale" priority="127">
      <colorScale>
        <cfvo type="formula" val="1.2"/>
        <cfvo type="formula" val="4"/>
        <color rgb="FF0B5394"/>
        <color rgb="FFFFFFFF"/>
      </colorScale>
    </cfRule>
  </conditionalFormatting>
  <conditionalFormatting sqref="E3:E81">
    <cfRule type="colorScale" priority="128">
      <colorScale>
        <cfvo type="formula" val="65"/>
        <cfvo type="formula" val="100"/>
        <color rgb="FFD9D2E9"/>
        <color rgb="FF674EA7"/>
      </colorScale>
    </cfRule>
  </conditionalFormatting>
  <conditionalFormatting sqref="D3:D81">
    <cfRule type="containsText" dxfId="224" priority="129" operator="containsText" text="1.2">
      <formula>NOT(ISERROR(SEARCH(("1.2"),(D3))))</formula>
    </cfRule>
  </conditionalFormatting>
  <conditionalFormatting sqref="B3:B1053">
    <cfRule type="cellIs" dxfId="223" priority="130" operator="between">
      <formula>651</formula>
      <formula>900</formula>
    </cfRule>
  </conditionalFormatting>
  <conditionalFormatting sqref="D3:D81">
    <cfRule type="containsText" dxfId="222" priority="131" operator="containsText" text="1.4">
      <formula>NOT(ISERROR(SEARCH(("1.4"),(D3))))</formula>
    </cfRule>
  </conditionalFormatting>
  <conditionalFormatting sqref="D3:AA81">
    <cfRule type="containsText" dxfId="221" priority="132" operator="containsText" text="1.8">
      <formula>NOT(ISERROR(SEARCH(("1.8"),(D3))))</formula>
    </cfRule>
  </conditionalFormatting>
  <conditionalFormatting sqref="F1:F1058">
    <cfRule type="colorScale" priority="133">
      <colorScale>
        <cfvo type="min"/>
        <cfvo type="formula" val="150"/>
        <color rgb="FFEAD1DC"/>
        <color rgb="FFA64D79"/>
      </colorScale>
    </cfRule>
  </conditionalFormatting>
  <conditionalFormatting sqref="D3:D81">
    <cfRule type="colorScale" priority="134">
      <colorScale>
        <cfvo type="formula" val="1.2"/>
        <cfvo type="formula" val="4"/>
        <color rgb="FF0B5394"/>
        <color rgb="FFFFFFFF"/>
      </colorScale>
    </cfRule>
  </conditionalFormatting>
  <conditionalFormatting sqref="E3:E81">
    <cfRule type="colorScale" priority="135">
      <colorScale>
        <cfvo type="formula" val="65"/>
        <cfvo type="formula" val="100"/>
        <color rgb="FFD9D2E9"/>
        <color rgb="FF674EA7"/>
      </colorScale>
    </cfRule>
  </conditionalFormatting>
  <conditionalFormatting sqref="D3:D81">
    <cfRule type="containsText" dxfId="220" priority="136" operator="containsText" text="1.2">
      <formula>NOT(ISERROR(SEARCH(("1.2"),(D3))))</formula>
    </cfRule>
  </conditionalFormatting>
  <conditionalFormatting sqref="D12">
    <cfRule type="notContainsBlanks" dxfId="219" priority="137">
      <formula>LEN(TRIM(D12))&gt;0</formula>
    </cfRule>
  </conditionalFormatting>
  <conditionalFormatting sqref="D3:D81">
    <cfRule type="containsText" dxfId="218" priority="138" operator="containsText" text="1.4">
      <formula>NOT(ISERROR(SEARCH(("1.4"),(D3))))</formula>
    </cfRule>
  </conditionalFormatting>
  <conditionalFormatting sqref="D3:AA81">
    <cfRule type="containsText" dxfId="217" priority="139" operator="containsText" text="1.8">
      <formula>NOT(ISERROR(SEARCH(("1.8"),(D3))))</formula>
    </cfRule>
  </conditionalFormatting>
  <dataValidations count="1">
    <dataValidation type="list" allowBlank="1" sqref="S3:S130" xr:uid="{00000000-0002-0000-0700-000000000000}">
      <formula1>"Sony,Voigtlander,Zeiss,Sigma,Samyang,Viltrox,Tokina,Tamron"</formula1>
    </dataValidation>
  </dataValidations>
  <hyperlinks>
    <hyperlink ref="K1" r:id="rId1" xr:uid="{00000000-0004-0000-0700-000000000000}"/>
    <hyperlink ref="M1" r:id="rId2" xr:uid="{00000000-0004-0000-0700-000001000000}"/>
    <hyperlink ref="N1" r:id="rId3"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L15"/>
  <sheetViews>
    <sheetView workbookViewId="0"/>
  </sheetViews>
  <sheetFormatPr baseColWidth="10" defaultColWidth="14.5" defaultRowHeight="15.75" customHeight="1"/>
  <cols>
    <col min="1" max="1" width="20.6640625" customWidth="1"/>
    <col min="2" max="2" width="5.33203125" customWidth="1"/>
    <col min="3" max="3" width="6.33203125" customWidth="1"/>
    <col min="4" max="4" width="7.33203125" customWidth="1"/>
    <col min="5" max="5" width="6.33203125" customWidth="1"/>
    <col min="6" max="6" width="5.83203125" customWidth="1"/>
    <col min="7" max="7" width="7.6640625" customWidth="1"/>
    <col min="8" max="9" width="5.5" customWidth="1"/>
    <col min="10" max="10" width="5.83203125" customWidth="1"/>
    <col min="11" max="12" width="7.6640625" customWidth="1"/>
  </cols>
  <sheetData>
    <row r="1" spans="1:12" ht="187">
      <c r="A1" s="575" t="s">
        <v>0</v>
      </c>
      <c r="B1" s="576" t="s">
        <v>1</v>
      </c>
      <c r="C1" s="577" t="s">
        <v>4</v>
      </c>
      <c r="D1" s="578" t="s">
        <v>5</v>
      </c>
      <c r="E1" s="579" t="s">
        <v>7</v>
      </c>
      <c r="F1" s="580" t="s">
        <v>8</v>
      </c>
      <c r="G1" s="580" t="s">
        <v>10</v>
      </c>
      <c r="H1" s="580" t="s">
        <v>12</v>
      </c>
      <c r="I1" s="580" t="s">
        <v>13</v>
      </c>
      <c r="J1" s="580" t="s">
        <v>15</v>
      </c>
      <c r="K1" s="581" t="s">
        <v>9</v>
      </c>
      <c r="L1" s="581" t="s">
        <v>16</v>
      </c>
    </row>
    <row r="2" spans="1:12" ht="13">
      <c r="A2" s="582" t="s">
        <v>237</v>
      </c>
      <c r="B2" s="583">
        <v>162</v>
      </c>
      <c r="C2" s="584">
        <v>62</v>
      </c>
      <c r="D2" s="585">
        <v>56</v>
      </c>
      <c r="E2" s="586" t="s">
        <v>124</v>
      </c>
      <c r="F2" s="586">
        <v>0.12</v>
      </c>
      <c r="G2" s="587">
        <v>45</v>
      </c>
      <c r="H2" s="586">
        <v>9</v>
      </c>
      <c r="I2" s="588">
        <v>43623</v>
      </c>
      <c r="J2" s="589">
        <v>43647</v>
      </c>
      <c r="K2" s="590">
        <v>399</v>
      </c>
      <c r="L2" s="590">
        <v>300</v>
      </c>
    </row>
    <row r="3" spans="1:12" ht="13">
      <c r="A3" s="591" t="s">
        <v>238</v>
      </c>
      <c r="B3" s="592">
        <v>215</v>
      </c>
      <c r="C3" s="593">
        <v>64</v>
      </c>
      <c r="D3" s="594">
        <v>46</v>
      </c>
      <c r="E3" s="595" t="s">
        <v>147</v>
      </c>
      <c r="F3" s="596">
        <v>0.25</v>
      </c>
      <c r="G3" s="597">
        <v>24</v>
      </c>
      <c r="H3" s="595">
        <v>7</v>
      </c>
      <c r="I3" s="598">
        <v>43654</v>
      </c>
      <c r="J3" s="599">
        <v>43647</v>
      </c>
      <c r="K3" s="600">
        <v>549</v>
      </c>
      <c r="L3" s="601" t="s">
        <v>44</v>
      </c>
    </row>
    <row r="4" spans="1:12" ht="13" hidden="1"/>
    <row r="5" spans="1:12" ht="13">
      <c r="A5" s="602" t="s">
        <v>239</v>
      </c>
      <c r="B5" s="390">
        <v>778</v>
      </c>
      <c r="C5" s="507">
        <v>84</v>
      </c>
      <c r="D5" s="508">
        <v>108</v>
      </c>
      <c r="E5" s="462" t="s">
        <v>64</v>
      </c>
      <c r="F5" s="462">
        <v>0.15</v>
      </c>
      <c r="G5" s="368">
        <v>45</v>
      </c>
      <c r="H5" s="462">
        <v>11</v>
      </c>
      <c r="I5" s="388">
        <v>43720</v>
      </c>
      <c r="J5" s="371">
        <v>42583</v>
      </c>
      <c r="K5" s="366">
        <v>1499</v>
      </c>
      <c r="L5" s="366">
        <v>1000</v>
      </c>
    </row>
    <row r="6" spans="1:12" ht="13">
      <c r="A6" s="602" t="s">
        <v>240</v>
      </c>
      <c r="B6" s="383">
        <v>910</v>
      </c>
      <c r="C6" s="442">
        <v>85</v>
      </c>
      <c r="D6" s="603">
        <v>125.9</v>
      </c>
      <c r="E6" s="462" t="s">
        <v>80</v>
      </c>
      <c r="F6" s="462">
        <v>0.18</v>
      </c>
      <c r="G6" s="368">
        <v>40</v>
      </c>
      <c r="H6" s="462">
        <v>9</v>
      </c>
      <c r="I6" s="388">
        <v>43690</v>
      </c>
      <c r="J6" s="371">
        <v>43221</v>
      </c>
      <c r="K6" s="366">
        <v>949</v>
      </c>
      <c r="L6" s="366">
        <v>650</v>
      </c>
    </row>
    <row r="7" spans="1:12" ht="13">
      <c r="A7" s="602" t="s">
        <v>241</v>
      </c>
      <c r="B7" s="359">
        <v>585</v>
      </c>
      <c r="C7" s="510">
        <v>74</v>
      </c>
      <c r="D7" s="395">
        <v>98</v>
      </c>
      <c r="E7" s="462" t="s">
        <v>73</v>
      </c>
      <c r="F7" s="462">
        <v>0.15</v>
      </c>
      <c r="G7" s="368">
        <v>45</v>
      </c>
      <c r="H7" s="462">
        <v>9</v>
      </c>
      <c r="I7" s="388">
        <v>43686</v>
      </c>
      <c r="J7" s="371">
        <v>42583</v>
      </c>
      <c r="K7" s="366">
        <v>699</v>
      </c>
      <c r="L7" s="366">
        <v>365</v>
      </c>
    </row>
    <row r="8" spans="1:12" ht="13">
      <c r="A8" s="496" t="str">
        <f>HYPERLINK("https://phillipreeve.net/blog/review-sony-fe-1-850/","Sony FE 
50mm F1.8")</f>
        <v>Sony FE 
50mm F1.8</v>
      </c>
      <c r="B8" s="416">
        <v>186</v>
      </c>
      <c r="C8" s="429">
        <v>69</v>
      </c>
      <c r="D8" s="466">
        <v>60</v>
      </c>
      <c r="E8" s="462" t="s">
        <v>124</v>
      </c>
      <c r="F8" s="462">
        <v>0.14000000000000001</v>
      </c>
      <c r="G8" s="368">
        <v>45</v>
      </c>
      <c r="H8" s="462">
        <v>7</v>
      </c>
      <c r="I8" s="388">
        <v>43591</v>
      </c>
      <c r="J8" s="371">
        <v>42430</v>
      </c>
      <c r="K8" s="410">
        <v>249</v>
      </c>
      <c r="L8" s="410">
        <v>165</v>
      </c>
    </row>
    <row r="9" spans="1:12" ht="13" hidden="1"/>
    <row r="10" spans="1:12" ht="13">
      <c r="A10" s="605" t="str">
        <f>HYPERLINK("https://phillipreeve.net/blog/rolling-review-sony-fe-2-850-macro/","Sony FE 
50mm F/2.8 Macro")</f>
        <v>Sony FE 
50mm F/2.8 Macro</v>
      </c>
      <c r="B10" s="592">
        <v>236</v>
      </c>
      <c r="C10" s="606">
        <v>72</v>
      </c>
      <c r="D10" s="607">
        <v>71</v>
      </c>
      <c r="E10" s="595" t="s">
        <v>147</v>
      </c>
      <c r="F10" s="608">
        <v>1</v>
      </c>
      <c r="G10" s="597">
        <v>16</v>
      </c>
      <c r="H10" s="595">
        <v>7</v>
      </c>
      <c r="I10" s="598">
        <v>43654</v>
      </c>
      <c r="J10" s="599">
        <v>42614</v>
      </c>
      <c r="K10" s="609">
        <v>499</v>
      </c>
      <c r="L10" s="609">
        <v>350</v>
      </c>
    </row>
    <row r="11" spans="1:12" ht="13">
      <c r="A11" s="605" t="str">
        <f>HYPERLINK("https://phillipreeve.net/blog/sony-fe-1-855-za-sonnar-t-review/","Sony ZA 
55mm F1.8 Sonnar")</f>
        <v>Sony ZA 
55mm F1.8 Sonnar</v>
      </c>
      <c r="B11" s="592">
        <v>281</v>
      </c>
      <c r="C11" s="593">
        <v>64</v>
      </c>
      <c r="D11" s="607">
        <v>71</v>
      </c>
      <c r="E11" s="595" t="s">
        <v>124</v>
      </c>
      <c r="F11" s="595">
        <v>0.14000000000000001</v>
      </c>
      <c r="G11" s="597">
        <v>50</v>
      </c>
      <c r="H11" s="595">
        <v>9</v>
      </c>
      <c r="I11" s="598">
        <v>43592</v>
      </c>
      <c r="J11" s="599">
        <v>41548</v>
      </c>
      <c r="K11" s="600">
        <v>999</v>
      </c>
      <c r="L11" s="600">
        <v>625</v>
      </c>
    </row>
    <row r="12" spans="1:12" ht="187">
      <c r="A12" s="575" t="s">
        <v>0</v>
      </c>
      <c r="B12" s="576" t="s">
        <v>1</v>
      </c>
      <c r="C12" s="577" t="s">
        <v>4</v>
      </c>
      <c r="D12" s="578" t="s">
        <v>5</v>
      </c>
      <c r="E12" s="579" t="s">
        <v>7</v>
      </c>
      <c r="F12" s="580" t="s">
        <v>8</v>
      </c>
      <c r="G12" s="580" t="s">
        <v>10</v>
      </c>
      <c r="H12" s="580" t="s">
        <v>12</v>
      </c>
      <c r="I12" s="580" t="s">
        <v>13</v>
      </c>
      <c r="J12" s="580" t="s">
        <v>15</v>
      </c>
      <c r="K12" s="581" t="s">
        <v>9</v>
      </c>
      <c r="L12" s="581" t="s">
        <v>16</v>
      </c>
    </row>
    <row r="13" spans="1:12" ht="13">
      <c r="A13" s="496" t="str">
        <f>HYPERLINK("https://phillipreeve.net/blog/review-voigtlander-50mm-1-2-nokton-e/","Voigtlander 
50mm F1.2 Nokton")</f>
        <v>Voigtlander 
50mm F1.2 Nokton</v>
      </c>
      <c r="B13" s="359">
        <v>440</v>
      </c>
      <c r="C13" s="434">
        <v>70</v>
      </c>
      <c r="D13" s="506">
        <v>58</v>
      </c>
      <c r="E13" s="462" t="s">
        <v>71</v>
      </c>
      <c r="F13" s="462">
        <v>0.15</v>
      </c>
      <c r="G13" s="368">
        <v>45</v>
      </c>
      <c r="H13" s="462">
        <v>12</v>
      </c>
      <c r="I13" s="388">
        <v>43624</v>
      </c>
      <c r="J13" s="371">
        <v>43556</v>
      </c>
      <c r="K13" s="366">
        <v>1099</v>
      </c>
      <c r="L13" s="610" t="s">
        <v>44</v>
      </c>
    </row>
    <row r="14" spans="1:12" ht="13">
      <c r="A14" s="504" t="str">
        <f>HYPERLINK("https://docs.google.com/document/d/115s6JHR9S4pBUesKJEkgWeoP8rcGbT31p6fQSg5SFQM/edit?usp=sharing","Voigtlander 50mm F2
 APO-Lanthar")</f>
        <v>Voigtlander 50mm F2
 APO-Lanthar</v>
      </c>
      <c r="B14" s="374">
        <v>364</v>
      </c>
      <c r="C14" s="435">
        <v>63</v>
      </c>
      <c r="D14" s="611">
        <v>61</v>
      </c>
      <c r="E14" s="462" t="s">
        <v>124</v>
      </c>
      <c r="F14" s="462">
        <v>0.156</v>
      </c>
      <c r="G14" s="368">
        <v>45</v>
      </c>
      <c r="H14" s="462">
        <v>12</v>
      </c>
      <c r="I14" s="388">
        <v>43687</v>
      </c>
      <c r="J14" s="371">
        <v>43811</v>
      </c>
      <c r="K14" s="366">
        <v>1049</v>
      </c>
      <c r="L14" s="610" t="s">
        <v>44</v>
      </c>
    </row>
    <row r="15" spans="1:12" ht="13">
      <c r="A15" s="496" t="str">
        <f>HYPERLINK("https://phillipreeve.net/blog/review-zeiss-loxia-planar-250-t/","Zeiss Loxia 
50mm F2")</f>
        <v>Zeiss Loxia 
50mm F2</v>
      </c>
      <c r="B15" s="374">
        <v>320</v>
      </c>
      <c r="C15" s="435">
        <v>62</v>
      </c>
      <c r="D15" s="466">
        <v>60</v>
      </c>
      <c r="E15" s="462" t="s">
        <v>131</v>
      </c>
      <c r="F15" s="462">
        <v>0.15</v>
      </c>
      <c r="G15" s="368">
        <v>45</v>
      </c>
      <c r="H15" s="462">
        <v>10</v>
      </c>
      <c r="I15" s="388">
        <v>43561</v>
      </c>
      <c r="J15" s="371">
        <v>41913</v>
      </c>
      <c r="K15" s="366">
        <v>949</v>
      </c>
      <c r="L15" s="366">
        <v>500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outlinePr summaryBelow="0" summaryRight="0"/>
  </sheetPr>
  <dimension ref="A1:U105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6.83203125" customWidth="1"/>
    <col min="2" max="2" width="6.5" customWidth="1"/>
    <col min="3" max="3" width="11" customWidth="1"/>
    <col min="4" max="4" width="8" customWidth="1"/>
    <col min="5" max="6" width="7.33203125" customWidth="1"/>
    <col min="7" max="7" width="4" customWidth="1"/>
    <col min="8" max="8" width="7.1640625" customWidth="1"/>
    <col min="9" max="9" width="4.5" customWidth="1"/>
    <col min="10" max="10" width="7.6640625" customWidth="1"/>
    <col min="11" max="14" width="4" customWidth="1"/>
    <col min="15" max="15" width="7.5" customWidth="1"/>
    <col min="16" max="16" width="5.5" customWidth="1"/>
    <col min="17" max="17" width="5" customWidth="1"/>
    <col min="18" max="18" width="6.1640625" customWidth="1"/>
    <col min="19" max="19" width="13.33203125" customWidth="1"/>
    <col min="20" max="20" width="5.83203125" customWidth="1"/>
  </cols>
  <sheetData>
    <row r="1" spans="1:21" ht="76.5" customHeight="1">
      <c r="A1" s="330" t="s">
        <v>0</v>
      </c>
      <c r="B1" s="3" t="s">
        <v>1</v>
      </c>
      <c r="C1" s="3" t="s">
        <v>223</v>
      </c>
      <c r="D1" s="4" t="s">
        <v>3</v>
      </c>
      <c r="E1" s="5" t="s">
        <v>4</v>
      </c>
      <c r="F1" s="6" t="s">
        <v>5</v>
      </c>
      <c r="G1" s="7" t="s">
        <v>6</v>
      </c>
      <c r="H1" s="8" t="s">
        <v>7</v>
      </c>
      <c r="I1" s="3" t="s">
        <v>8</v>
      </c>
      <c r="J1" s="9" t="s">
        <v>17</v>
      </c>
      <c r="K1" s="10" t="s">
        <v>18</v>
      </c>
      <c r="L1" s="11" t="s">
        <v>19</v>
      </c>
      <c r="M1" s="10" t="s">
        <v>20</v>
      </c>
      <c r="N1" s="12" t="s">
        <v>21</v>
      </c>
      <c r="O1" s="3" t="s">
        <v>10</v>
      </c>
      <c r="P1" s="5" t="s">
        <v>11</v>
      </c>
      <c r="Q1" s="3" t="s">
        <v>12</v>
      </c>
      <c r="R1" s="3" t="s">
        <v>13</v>
      </c>
      <c r="S1" s="3" t="s">
        <v>14</v>
      </c>
      <c r="T1" s="3" t="s">
        <v>15</v>
      </c>
      <c r="U1" s="13" t="s">
        <v>225</v>
      </c>
    </row>
    <row r="2" spans="1:21" ht="18" hidden="1" customHeight="1">
      <c r="A2" s="14" t="s">
        <v>23</v>
      </c>
      <c r="B2" s="15"/>
      <c r="C2" s="15"/>
      <c r="D2" s="15"/>
      <c r="E2" s="15"/>
      <c r="F2" s="15"/>
      <c r="G2" s="16"/>
      <c r="H2" s="17"/>
      <c r="I2" s="15"/>
      <c r="J2" s="15"/>
      <c r="K2" s="15"/>
      <c r="L2" s="15"/>
      <c r="M2" s="15"/>
      <c r="N2" s="15"/>
      <c r="O2" s="15"/>
      <c r="P2" s="16"/>
      <c r="Q2" s="15"/>
      <c r="R2" s="16"/>
      <c r="S2" s="18"/>
      <c r="T2" s="16"/>
    </row>
    <row r="3" spans="1:21" ht="13">
      <c r="A3" s="126" t="str">
        <f>HYPERLINK("https://phillipreeve.net/blog/review-voigtlander-15mm-4-5-e-super-wide-heliar/","Voigtlander 15mm F4.5 Super Wide Heliar")</f>
        <v>Voigtlander 15mm F4.5 Super Wide Heliar</v>
      </c>
      <c r="B3" s="60">
        <v>298</v>
      </c>
      <c r="C3" s="67">
        <v>15</v>
      </c>
      <c r="D3" s="64">
        <v>4.5</v>
      </c>
      <c r="E3" s="248">
        <v>67</v>
      </c>
      <c r="F3" s="246">
        <v>62</v>
      </c>
      <c r="G3" s="70" t="s">
        <v>25</v>
      </c>
      <c r="H3" s="72" t="s">
        <v>71</v>
      </c>
      <c r="I3" s="74">
        <v>8.3000000000000004E-2</v>
      </c>
      <c r="J3" s="76">
        <v>799</v>
      </c>
      <c r="K3" s="79" t="str">
        <f>HYPERLINK("https://amzn.to/2YwplrQ","link*")</f>
        <v>link*</v>
      </c>
      <c r="L3" s="79" t="str">
        <f>HYPERLINK("https://www.bhphotovideo.com/c/product/1219549-REG/voigtlander_ba329b_super_wide_heliar_15mm_f_4_5.html/BI/19619/KBID/12129/DFF/d10-v21-t1-x618202/SID/EZ","link*")</f>
        <v>link*</v>
      </c>
      <c r="M3" s="79" t="str">
        <f>HYPERLINK("https://amzn.to/2ZpTKt5","link*")</f>
        <v>link*</v>
      </c>
      <c r="N3" s="79"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O3" s="84">
        <v>30</v>
      </c>
      <c r="P3" s="70" t="s">
        <v>27</v>
      </c>
      <c r="Q3" s="74">
        <v>10</v>
      </c>
      <c r="R3" s="136" t="s">
        <v>43</v>
      </c>
      <c r="S3" s="74" t="s">
        <v>29</v>
      </c>
      <c r="T3" s="88">
        <v>42401</v>
      </c>
    </row>
    <row r="4" spans="1:21" ht="15" hidden="1">
      <c r="A4" s="335"/>
      <c r="B4" s="60"/>
      <c r="C4" s="74"/>
      <c r="D4" s="64"/>
      <c r="E4" s="65"/>
      <c r="F4" s="65"/>
      <c r="G4" s="70"/>
      <c r="H4" s="72"/>
      <c r="I4" s="74"/>
      <c r="J4" s="74"/>
      <c r="K4" s="113"/>
      <c r="L4" s="113"/>
      <c r="M4" s="113"/>
      <c r="N4" s="113"/>
      <c r="O4" s="74"/>
      <c r="P4" s="70"/>
      <c r="Q4" s="74"/>
      <c r="R4" s="86"/>
      <c r="S4" s="74"/>
      <c r="T4" s="74"/>
    </row>
    <row r="5" spans="1:21" ht="13" hidden="1">
      <c r="A5" s="58" t="s">
        <v>35</v>
      </c>
      <c r="B5" s="60">
        <v>565</v>
      </c>
      <c r="C5" s="67">
        <v>12</v>
      </c>
      <c r="D5" s="64">
        <v>4</v>
      </c>
      <c r="E5" s="65">
        <v>87</v>
      </c>
      <c r="F5" s="67">
        <v>117</v>
      </c>
      <c r="G5" s="70" t="s">
        <v>36</v>
      </c>
      <c r="H5" s="72" t="s">
        <v>26</v>
      </c>
      <c r="I5" s="74">
        <v>0.14000000000000001</v>
      </c>
      <c r="J5" s="76">
        <v>1699</v>
      </c>
      <c r="K5" s="79" t="str">
        <f>HYPERLINK("https://amzn.to/2SSzKc4","link*")</f>
        <v>link*</v>
      </c>
      <c r="L5" s="79" t="str">
        <f>HYPERLINK("https://www.bhphotovideo.com/c/product/1338517-REG/sony_sel1224g_fe_12_24mm_f_4_g.html/BI/19619/KBID/12129/DFF/d10-v21-t1-x822838/SID/EZ","link*")</f>
        <v>link*</v>
      </c>
      <c r="M5" s="79" t="str">
        <f>HYPERLINK("https://amzn.to/2Kg94zb","link*")</f>
        <v>link*</v>
      </c>
      <c r="N5" s="79"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5" s="84">
        <v>24</v>
      </c>
      <c r="P5" s="70" t="s">
        <v>27</v>
      </c>
      <c r="Q5" s="74">
        <v>7</v>
      </c>
      <c r="R5" s="86" t="s">
        <v>40</v>
      </c>
      <c r="S5" s="74" t="s">
        <v>41</v>
      </c>
      <c r="T5" s="88">
        <v>42856</v>
      </c>
    </row>
    <row r="6" spans="1:21" ht="13" hidden="1">
      <c r="A6" s="323"/>
      <c r="B6" s="60"/>
      <c r="C6" s="74"/>
      <c r="D6" s="100"/>
      <c r="E6" s="101"/>
      <c r="F6" s="118"/>
      <c r="G6" s="74"/>
      <c r="H6" s="72"/>
      <c r="I6" s="74"/>
      <c r="J6" s="74"/>
      <c r="K6" s="113"/>
      <c r="L6" s="113"/>
      <c r="M6" s="113"/>
      <c r="N6" s="113"/>
      <c r="O6" s="74"/>
      <c r="P6" s="70"/>
      <c r="Q6" s="74"/>
      <c r="R6" s="112"/>
      <c r="S6" s="74"/>
      <c r="T6" s="125"/>
    </row>
    <row r="7" spans="1:21" ht="13" hidden="1">
      <c r="A7" s="326"/>
      <c r="B7" s="60"/>
      <c r="C7" s="74"/>
      <c r="D7" s="64"/>
      <c r="E7" s="65"/>
      <c r="F7" s="118"/>
      <c r="G7" s="74"/>
      <c r="H7" s="72"/>
      <c r="I7" s="74"/>
      <c r="J7" s="74"/>
      <c r="K7" s="113"/>
      <c r="L7" s="113"/>
      <c r="M7" s="113"/>
      <c r="N7" s="113"/>
      <c r="O7" s="74"/>
      <c r="P7" s="70"/>
      <c r="Q7" s="74"/>
      <c r="R7" s="115"/>
      <c r="S7" s="74"/>
      <c r="T7" s="74"/>
    </row>
    <row r="8" spans="1:21" ht="13" hidden="1">
      <c r="A8" s="323"/>
      <c r="B8" s="60"/>
      <c r="C8" s="74"/>
      <c r="D8" s="64"/>
      <c r="E8" s="65"/>
      <c r="F8" s="65"/>
      <c r="G8" s="74"/>
      <c r="H8" s="72"/>
      <c r="I8" s="74"/>
      <c r="J8" s="74"/>
      <c r="K8" s="113"/>
      <c r="L8" s="113"/>
      <c r="M8" s="113"/>
      <c r="N8" s="113"/>
      <c r="O8" s="74"/>
      <c r="P8" s="70"/>
      <c r="Q8" s="74"/>
      <c r="R8" s="112"/>
      <c r="S8" s="74"/>
      <c r="T8" s="125"/>
    </row>
    <row r="9" spans="1:21" ht="13">
      <c r="A9" s="126" t="str">
        <f>HYPERLINK("https://phillipreeve.net/blog/review-voigtlander-10mm-5-6-e-hyper-wide-heliar/","Voigtlander 10mm F5.6 Hyper Wide ")</f>
        <v xml:space="preserve">Voigtlander 10mm F5.6 Hyper Wide </v>
      </c>
      <c r="B9" s="60">
        <v>375</v>
      </c>
      <c r="C9" s="67">
        <v>10</v>
      </c>
      <c r="D9" s="64">
        <v>5.6</v>
      </c>
      <c r="E9" s="245">
        <v>67</v>
      </c>
      <c r="F9" s="246" t="s">
        <v>24</v>
      </c>
      <c r="G9" s="247" t="s">
        <v>25</v>
      </c>
      <c r="H9" s="72" t="s">
        <v>26</v>
      </c>
      <c r="I9" s="74">
        <v>6.7000000000000004E-2</v>
      </c>
      <c r="J9" s="76">
        <v>1099</v>
      </c>
      <c r="K9" s="79" t="str">
        <f>HYPERLINK("https://amzn.to/2jJ8WxH","link*")</f>
        <v>link*</v>
      </c>
      <c r="L9" s="79" t="str">
        <f>HYPERLINK("https://www.bhphotovideo.com/c/product/1219550-REG/voigtlander_ba334b_heliar_hyper_wide_10mm_f_5_6.html/BI/19619/KBID/12129/DFF/d10-v21-t1-x732282/SID/EZ","link*")</f>
        <v>link*</v>
      </c>
      <c r="M9" s="79" t="str">
        <f>HYPERLINK("https://amzn.to/2jG72hr","link*")</f>
        <v>link*</v>
      </c>
      <c r="N9" s="79"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O9" s="84">
        <v>30</v>
      </c>
      <c r="P9" s="70" t="s">
        <v>27</v>
      </c>
      <c r="Q9" s="74">
        <v>10</v>
      </c>
      <c r="R9" s="86" t="s">
        <v>28</v>
      </c>
      <c r="S9" s="74" t="s">
        <v>29</v>
      </c>
      <c r="T9" s="88">
        <v>42552</v>
      </c>
      <c r="U9" s="77" t="s">
        <v>34</v>
      </c>
    </row>
    <row r="10" spans="1:21" ht="13" hidden="1">
      <c r="A10" s="198"/>
      <c r="B10" s="60"/>
      <c r="C10" s="74"/>
      <c r="D10" s="64"/>
      <c r="E10" s="65"/>
      <c r="F10" s="65"/>
      <c r="G10" s="70"/>
      <c r="H10" s="72"/>
      <c r="I10" s="74"/>
      <c r="J10" s="74"/>
      <c r="K10" s="121"/>
      <c r="L10" s="121"/>
      <c r="M10" s="121"/>
      <c r="N10" s="121"/>
      <c r="O10" s="74"/>
      <c r="P10" s="134"/>
      <c r="Q10" s="74"/>
      <c r="R10" s="136"/>
      <c r="S10" s="74"/>
      <c r="T10" s="74"/>
    </row>
    <row r="11" spans="1:21" ht="13" hidden="1">
      <c r="A11" s="323"/>
      <c r="B11" s="60"/>
      <c r="C11" s="74"/>
      <c r="D11" s="64"/>
      <c r="E11" s="65"/>
      <c r="F11" s="65"/>
      <c r="G11" s="70"/>
      <c r="H11" s="72"/>
      <c r="I11" s="74"/>
      <c r="J11" s="74"/>
      <c r="K11" s="113"/>
      <c r="L11" s="113"/>
      <c r="M11" s="113"/>
      <c r="N11" s="113"/>
      <c r="O11" s="74"/>
      <c r="P11" s="70"/>
      <c r="Q11" s="74"/>
      <c r="R11" s="136"/>
      <c r="S11" s="74"/>
      <c r="T11" s="74"/>
    </row>
    <row r="12" spans="1:21" ht="13" hidden="1">
      <c r="A12" s="572"/>
      <c r="B12" s="60"/>
      <c r="C12" s="74"/>
      <c r="D12" s="64"/>
      <c r="E12" s="152"/>
      <c r="F12" s="65"/>
      <c r="G12" s="70"/>
      <c r="H12" s="72"/>
      <c r="I12" s="74"/>
      <c r="J12" s="573"/>
      <c r="K12" s="113"/>
      <c r="L12" s="113"/>
      <c r="M12" s="113"/>
      <c r="N12" s="113"/>
      <c r="O12" s="74"/>
      <c r="P12" s="70"/>
      <c r="Q12" s="74"/>
      <c r="R12" s="136"/>
      <c r="S12" s="74"/>
      <c r="T12" s="74"/>
    </row>
    <row r="13" spans="1:21" ht="13" hidden="1">
      <c r="A13" s="198"/>
      <c r="B13" s="60"/>
      <c r="C13" s="74"/>
      <c r="D13" s="64"/>
      <c r="E13" s="65"/>
      <c r="F13" s="65"/>
      <c r="G13" s="70"/>
      <c r="H13" s="72"/>
      <c r="I13" s="74"/>
      <c r="J13" s="74"/>
      <c r="K13" s="113"/>
      <c r="L13" s="113"/>
      <c r="M13" s="113"/>
      <c r="N13" s="113"/>
      <c r="O13" s="74"/>
      <c r="P13" s="70"/>
      <c r="Q13" s="74"/>
      <c r="R13" s="136"/>
      <c r="S13" s="74"/>
      <c r="T13" s="125"/>
    </row>
    <row r="14" spans="1:21" ht="15.75" hidden="1" customHeight="1">
      <c r="A14" s="323"/>
      <c r="B14" s="60"/>
      <c r="C14" s="74"/>
      <c r="D14" s="165"/>
      <c r="E14" s="65"/>
      <c r="F14" s="65"/>
      <c r="G14" s="74"/>
      <c r="H14" s="72"/>
      <c r="I14" s="74"/>
      <c r="J14" s="74"/>
      <c r="K14" s="113"/>
      <c r="L14" s="113"/>
      <c r="M14" s="113"/>
      <c r="N14" s="113"/>
      <c r="O14" s="74"/>
      <c r="P14" s="70"/>
      <c r="Q14" s="74"/>
      <c r="R14" s="112"/>
      <c r="S14" s="74"/>
      <c r="T14" s="125"/>
    </row>
    <row r="15" spans="1:21" ht="13" hidden="1">
      <c r="A15" s="323"/>
      <c r="B15" s="60"/>
      <c r="C15" s="74"/>
      <c r="D15" s="100"/>
      <c r="E15" s="65"/>
      <c r="F15" s="65"/>
      <c r="G15" s="328"/>
      <c r="H15" s="72"/>
      <c r="I15" s="74"/>
      <c r="J15" s="74"/>
      <c r="K15" s="113"/>
      <c r="L15" s="113"/>
      <c r="M15" s="113"/>
      <c r="N15" s="113"/>
      <c r="O15" s="74"/>
      <c r="P15" s="70"/>
      <c r="Q15" s="74"/>
      <c r="R15" s="112"/>
      <c r="S15" s="74"/>
      <c r="T15" s="125"/>
    </row>
    <row r="16" spans="1:21" ht="13" hidden="1">
      <c r="A16" s="198"/>
      <c r="B16" s="60"/>
      <c r="C16" s="74"/>
      <c r="D16" s="173"/>
      <c r="E16" s="248"/>
      <c r="F16" s="65"/>
      <c r="G16" s="325"/>
      <c r="H16" s="72"/>
      <c r="I16" s="74"/>
      <c r="J16" s="574"/>
      <c r="K16" s="121"/>
      <c r="L16" s="121"/>
      <c r="M16" s="121"/>
      <c r="N16" s="121"/>
      <c r="O16" s="74"/>
      <c r="P16" s="70"/>
      <c r="Q16" s="74"/>
      <c r="R16" s="136"/>
      <c r="S16" s="74"/>
      <c r="T16" s="125"/>
    </row>
    <row r="17" spans="1:21" ht="13" hidden="1">
      <c r="A17" s="323"/>
      <c r="B17" s="60"/>
      <c r="C17" s="74"/>
      <c r="D17" s="173"/>
      <c r="E17" s="152"/>
      <c r="F17" s="65"/>
      <c r="G17" s="70"/>
      <c r="H17" s="72"/>
      <c r="I17" s="74"/>
      <c r="J17" s="74"/>
      <c r="K17" s="113"/>
      <c r="L17" s="113"/>
      <c r="M17" s="113"/>
      <c r="N17" s="113"/>
      <c r="O17" s="74"/>
      <c r="P17" s="70"/>
      <c r="Q17" s="74"/>
      <c r="R17" s="136"/>
      <c r="S17" s="74"/>
      <c r="T17" s="125"/>
    </row>
    <row r="18" spans="1:21" ht="13" hidden="1">
      <c r="A18" s="58" t="s">
        <v>45</v>
      </c>
      <c r="B18" s="60">
        <v>1170</v>
      </c>
      <c r="C18" s="67">
        <v>14</v>
      </c>
      <c r="D18" s="100">
        <v>1.8</v>
      </c>
      <c r="E18" s="101">
        <v>95</v>
      </c>
      <c r="F18" s="103">
        <v>126</v>
      </c>
      <c r="G18" s="74" t="s">
        <v>36</v>
      </c>
      <c r="H18" s="72" t="s">
        <v>26</v>
      </c>
      <c r="I18" s="74">
        <v>0.1</v>
      </c>
      <c r="J18" s="76">
        <v>1599</v>
      </c>
      <c r="K18" s="79" t="str">
        <f>HYPERLINK("https://amzn.to/2SOWTvV","link*")</f>
        <v>link*</v>
      </c>
      <c r="L18" s="79" t="str">
        <f>HYPERLINK("https://www.bhphotovideo.com/c/product/1393489-REG/sigma_14mm_f_1_8_dg_hsm.html/BI/19619/KBID/12129/DFF/d10-v21-t1-x881154/SID/EZ","link*")</f>
        <v>link*</v>
      </c>
      <c r="M18" s="79" t="str">
        <f>HYPERLINK("https://amzn.to/2ZDl4QJ","link*")</f>
        <v>link*</v>
      </c>
      <c r="N18" s="79"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O18" s="84">
        <v>27</v>
      </c>
      <c r="P18" s="70" t="s">
        <v>27</v>
      </c>
      <c r="Q18" s="74">
        <v>9</v>
      </c>
      <c r="R18" s="112">
        <v>43785</v>
      </c>
      <c r="S18" s="74" t="s">
        <v>47</v>
      </c>
      <c r="T18" s="88">
        <v>43221</v>
      </c>
      <c r="U18" s="77" t="s">
        <v>48</v>
      </c>
    </row>
    <row r="19" spans="1:21" ht="13" hidden="1">
      <c r="A19" s="198"/>
      <c r="B19" s="60"/>
      <c r="C19" s="74"/>
      <c r="D19" s="64"/>
      <c r="E19" s="248"/>
      <c r="F19" s="324"/>
      <c r="G19" s="325"/>
      <c r="H19" s="72"/>
      <c r="I19" s="125"/>
      <c r="J19" s="74"/>
      <c r="K19" s="113"/>
      <c r="L19" s="113"/>
      <c r="M19" s="113"/>
      <c r="N19" s="113"/>
      <c r="O19" s="74"/>
      <c r="P19" s="70"/>
      <c r="Q19" s="74"/>
      <c r="R19" s="136"/>
      <c r="S19" s="74"/>
      <c r="T19" s="125"/>
    </row>
    <row r="20" spans="1:21" ht="13" hidden="1">
      <c r="A20" s="58" t="s">
        <v>49</v>
      </c>
      <c r="B20" s="60">
        <v>795</v>
      </c>
      <c r="C20" s="67">
        <v>14</v>
      </c>
      <c r="D20" s="64">
        <v>2.8</v>
      </c>
      <c r="E20" s="65">
        <v>85</v>
      </c>
      <c r="F20" s="103">
        <v>131</v>
      </c>
      <c r="G20" s="74" t="s">
        <v>36</v>
      </c>
      <c r="H20" s="72" t="s">
        <v>26</v>
      </c>
      <c r="I20" s="74">
        <v>0.14000000000000001</v>
      </c>
      <c r="J20" s="76">
        <v>1399</v>
      </c>
      <c r="K20" s="79" t="str">
        <f>HYPERLINK("https://amzn.to/2zt8rMC","link*")</f>
        <v>link*</v>
      </c>
      <c r="L20" s="79" t="str">
        <f>HYPERLINK("https://www.bhphotovideo.com/c/product/1492972-REG/sigma_213965_14_24mm_f_2_8_dg_dn.html/BI/19619/KBID/12129/DFF/d10-v21-t1-x976041/SID/EZ","link*")</f>
        <v>link*</v>
      </c>
      <c r="M20" s="113" t="s">
        <v>51</v>
      </c>
      <c r="N20" s="79"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O20" s="84">
        <v>28</v>
      </c>
      <c r="P20" s="70" t="s">
        <v>27</v>
      </c>
      <c r="Q20" s="74">
        <v>11</v>
      </c>
      <c r="R20" s="115" t="s">
        <v>54</v>
      </c>
      <c r="S20" s="74" t="s">
        <v>47</v>
      </c>
      <c r="T20" s="88">
        <v>43739</v>
      </c>
      <c r="U20" s="77" t="s">
        <v>55</v>
      </c>
    </row>
    <row r="21" spans="1:21" ht="13" hidden="1">
      <c r="A21" s="198"/>
      <c r="B21" s="60"/>
      <c r="C21" s="74"/>
      <c r="D21" s="192"/>
      <c r="E21" s="65"/>
      <c r="F21" s="65"/>
      <c r="G21" s="70"/>
      <c r="H21" s="72"/>
      <c r="I21" s="74"/>
      <c r="J21" s="74"/>
      <c r="K21" s="113"/>
      <c r="L21" s="113"/>
      <c r="M21" s="113"/>
      <c r="N21" s="113"/>
      <c r="O21" s="74"/>
      <c r="P21" s="70"/>
      <c r="Q21" s="74"/>
      <c r="R21" s="136"/>
      <c r="S21" s="74"/>
      <c r="T21" s="74"/>
    </row>
    <row r="22" spans="1:21" ht="13" hidden="1">
      <c r="A22" s="323"/>
      <c r="B22" s="60"/>
      <c r="C22" s="74"/>
      <c r="D22" s="192"/>
      <c r="E22" s="65"/>
      <c r="F22" s="65"/>
      <c r="G22" s="74"/>
      <c r="H22" s="72"/>
      <c r="I22" s="74"/>
      <c r="J22" s="74"/>
      <c r="K22" s="113"/>
      <c r="L22" s="113"/>
      <c r="M22" s="113"/>
      <c r="N22" s="113"/>
      <c r="O22" s="74"/>
      <c r="P22" s="70"/>
      <c r="Q22" s="74"/>
      <c r="R22" s="112"/>
      <c r="S22" s="74"/>
      <c r="T22" s="125"/>
    </row>
    <row r="23" spans="1:21" ht="13" hidden="1">
      <c r="A23" s="198"/>
      <c r="B23" s="60"/>
      <c r="C23" s="74"/>
      <c r="D23" s="64"/>
      <c r="E23" s="65"/>
      <c r="F23" s="65"/>
      <c r="G23" s="70"/>
      <c r="H23" s="72"/>
      <c r="I23" s="74"/>
      <c r="J23" s="574"/>
      <c r="K23" s="121"/>
      <c r="L23" s="121"/>
      <c r="M23" s="121"/>
      <c r="N23" s="113"/>
      <c r="O23" s="74"/>
      <c r="P23" s="70"/>
      <c r="Q23" s="74"/>
      <c r="R23" s="136"/>
      <c r="S23" s="74"/>
      <c r="T23" s="125"/>
    </row>
    <row r="24" spans="1:21" ht="13" hidden="1">
      <c r="A24" s="198"/>
      <c r="B24" s="60"/>
      <c r="C24" s="74"/>
      <c r="D24" s="64"/>
      <c r="E24" s="65"/>
      <c r="F24" s="65"/>
      <c r="G24" s="70"/>
      <c r="H24" s="72"/>
      <c r="I24" s="201"/>
      <c r="J24" s="74"/>
      <c r="K24" s="113"/>
      <c r="L24" s="113"/>
      <c r="M24" s="113"/>
      <c r="N24" s="113"/>
      <c r="O24" s="74"/>
      <c r="P24" s="70"/>
      <c r="Q24" s="74"/>
      <c r="R24" s="136"/>
      <c r="S24" s="74"/>
      <c r="T24" s="74"/>
    </row>
    <row r="25" spans="1:21" ht="13" hidden="1">
      <c r="A25" s="323"/>
      <c r="B25" s="60"/>
      <c r="C25" s="74"/>
      <c r="D25" s="64"/>
      <c r="E25" s="65"/>
      <c r="F25" s="65"/>
      <c r="G25" s="70"/>
      <c r="H25" s="72"/>
      <c r="I25" s="201"/>
      <c r="J25" s="74"/>
      <c r="K25" s="121"/>
      <c r="L25" s="113"/>
      <c r="M25" s="121"/>
      <c r="N25" s="121"/>
      <c r="O25" s="74"/>
      <c r="P25" s="134"/>
      <c r="Q25" s="74"/>
      <c r="R25" s="136"/>
      <c r="S25" s="74"/>
      <c r="T25" s="74"/>
    </row>
    <row r="26" spans="1:21" ht="13" hidden="1">
      <c r="A26" s="323"/>
      <c r="B26" s="60"/>
      <c r="C26" s="74"/>
      <c r="D26" s="64"/>
      <c r="E26" s="65"/>
      <c r="F26" s="65"/>
      <c r="G26" s="70"/>
      <c r="H26" s="72"/>
      <c r="I26" s="201"/>
      <c r="J26" s="74"/>
      <c r="K26" s="113"/>
      <c r="L26" s="113"/>
      <c r="M26" s="113"/>
      <c r="N26" s="113"/>
      <c r="O26" s="74"/>
      <c r="P26" s="134"/>
      <c r="Q26" s="74"/>
      <c r="R26" s="136"/>
      <c r="S26" s="74"/>
      <c r="T26" s="74"/>
    </row>
    <row r="27" spans="1:21" ht="13" hidden="1">
      <c r="A27" s="198"/>
      <c r="B27" s="60"/>
      <c r="C27" s="74"/>
      <c r="D27" s="64"/>
      <c r="E27" s="65"/>
      <c r="F27" s="65"/>
      <c r="G27" s="70"/>
      <c r="H27" s="72"/>
      <c r="I27" s="74"/>
      <c r="J27" s="74"/>
      <c r="K27" s="121"/>
      <c r="L27" s="113"/>
      <c r="M27" s="121"/>
      <c r="N27" s="121"/>
      <c r="O27" s="74"/>
      <c r="P27" s="134"/>
      <c r="Q27" s="74"/>
      <c r="R27" s="136"/>
      <c r="S27" s="74"/>
      <c r="T27" s="74"/>
    </row>
    <row r="28" spans="1:21" ht="13" hidden="1">
      <c r="A28" s="198"/>
      <c r="B28" s="60"/>
      <c r="C28" s="74"/>
      <c r="D28" s="64"/>
      <c r="E28" s="65"/>
      <c r="F28" s="65"/>
      <c r="G28" s="70"/>
      <c r="H28" s="72"/>
      <c r="I28" s="74"/>
      <c r="J28" s="74"/>
      <c r="K28" s="113"/>
      <c r="L28" s="113"/>
      <c r="M28" s="113"/>
      <c r="N28" s="113"/>
      <c r="O28" s="74"/>
      <c r="P28" s="70"/>
      <c r="Q28" s="74"/>
      <c r="R28" s="136"/>
      <c r="S28" s="74"/>
      <c r="T28" s="125"/>
    </row>
    <row r="29" spans="1:21" ht="13" hidden="1">
      <c r="A29" s="198"/>
      <c r="B29" s="60"/>
      <c r="C29" s="74"/>
      <c r="D29" s="64"/>
      <c r="E29" s="65"/>
      <c r="F29" s="65"/>
      <c r="G29" s="325"/>
      <c r="H29" s="72"/>
      <c r="I29" s="74"/>
      <c r="J29" s="74"/>
      <c r="K29" s="113"/>
      <c r="L29" s="113"/>
      <c r="M29" s="113"/>
      <c r="N29" s="113"/>
      <c r="O29" s="74"/>
      <c r="P29" s="70"/>
      <c r="Q29" s="74"/>
      <c r="R29" s="136"/>
      <c r="S29" s="74"/>
      <c r="T29" s="125"/>
    </row>
    <row r="30" spans="1:21" ht="13" hidden="1">
      <c r="A30" s="323"/>
      <c r="B30" s="60"/>
      <c r="C30" s="74"/>
      <c r="D30" s="64"/>
      <c r="E30" s="65"/>
      <c r="F30" s="65"/>
      <c r="G30" s="70"/>
      <c r="H30" s="72"/>
      <c r="I30" s="74"/>
      <c r="J30" s="573"/>
      <c r="K30" s="113"/>
      <c r="L30" s="113"/>
      <c r="M30" s="113"/>
      <c r="N30" s="113"/>
      <c r="O30" s="74"/>
      <c r="P30" s="70"/>
      <c r="Q30" s="74"/>
      <c r="R30" s="136"/>
      <c r="S30" s="74"/>
      <c r="T30" s="74"/>
    </row>
    <row r="31" spans="1:21" ht="13" hidden="1">
      <c r="A31" s="198"/>
      <c r="B31" s="60"/>
      <c r="C31" s="74"/>
      <c r="D31" s="64"/>
      <c r="E31" s="65"/>
      <c r="F31" s="65"/>
      <c r="G31" s="70"/>
      <c r="H31" s="72"/>
      <c r="I31" s="74"/>
      <c r="J31" s="573"/>
      <c r="K31" s="113"/>
      <c r="L31" s="113"/>
      <c r="M31" s="113"/>
      <c r="N31" s="113"/>
      <c r="O31" s="74"/>
      <c r="P31" s="70"/>
      <c r="Q31" s="74"/>
      <c r="R31" s="136"/>
      <c r="S31" s="74"/>
      <c r="T31" s="74"/>
    </row>
    <row r="32" spans="1:21" ht="13" hidden="1">
      <c r="A32" s="198"/>
      <c r="B32" s="60"/>
      <c r="C32" s="74"/>
      <c r="D32" s="64"/>
      <c r="E32" s="65"/>
      <c r="F32" s="65"/>
      <c r="G32" s="70"/>
      <c r="H32" s="72"/>
      <c r="I32" s="201"/>
      <c r="J32" s="573"/>
      <c r="K32" s="113"/>
      <c r="L32" s="113"/>
      <c r="M32" s="113"/>
      <c r="N32" s="113"/>
      <c r="O32" s="74"/>
      <c r="P32" s="70"/>
      <c r="Q32" s="74"/>
      <c r="R32" s="136"/>
      <c r="S32" s="74"/>
      <c r="T32" s="125"/>
    </row>
    <row r="33" spans="1:21" ht="13" hidden="1">
      <c r="A33" s="323"/>
      <c r="B33" s="60"/>
      <c r="C33" s="74"/>
      <c r="D33" s="64"/>
      <c r="E33" s="65"/>
      <c r="F33" s="65"/>
      <c r="G33" s="70"/>
      <c r="H33" s="72"/>
      <c r="I33" s="125"/>
      <c r="J33" s="74"/>
      <c r="K33" s="113"/>
      <c r="L33" s="113"/>
      <c r="M33" s="113"/>
      <c r="N33" s="113"/>
      <c r="O33" s="125"/>
      <c r="P33" s="134"/>
      <c r="Q33" s="125"/>
      <c r="R33" s="86"/>
      <c r="S33" s="74"/>
      <c r="T33" s="74"/>
    </row>
    <row r="34" spans="1:21" ht="13" hidden="1">
      <c r="A34" s="323"/>
      <c r="B34" s="60"/>
      <c r="C34" s="74"/>
      <c r="D34" s="64"/>
      <c r="E34" s="65"/>
      <c r="F34" s="65"/>
      <c r="G34" s="70"/>
      <c r="H34" s="234"/>
      <c r="I34" s="125"/>
      <c r="J34" s="74"/>
      <c r="K34" s="113"/>
      <c r="L34" s="113"/>
      <c r="M34" s="113"/>
      <c r="N34" s="113"/>
      <c r="O34" s="125"/>
      <c r="P34" s="134"/>
      <c r="Q34" s="125"/>
      <c r="R34" s="86"/>
      <c r="S34" s="74"/>
      <c r="T34" s="74"/>
    </row>
    <row r="35" spans="1:21" ht="15.75" hidden="1" customHeight="1">
      <c r="A35" s="337"/>
      <c r="B35" s="60"/>
      <c r="C35" s="74"/>
      <c r="D35" s="235"/>
      <c r="E35" s="65"/>
      <c r="F35" s="65"/>
      <c r="G35" s="74"/>
      <c r="H35" s="236"/>
      <c r="I35" s="74"/>
      <c r="J35" s="74"/>
      <c r="K35" s="113"/>
      <c r="L35" s="113"/>
      <c r="M35" s="113"/>
      <c r="N35" s="113"/>
      <c r="O35" s="74"/>
      <c r="P35" s="70"/>
      <c r="Q35" s="74"/>
      <c r="R35" s="112"/>
      <c r="S35" s="74"/>
      <c r="T35" s="74"/>
    </row>
    <row r="36" spans="1:21" ht="13" hidden="1">
      <c r="A36" s="198"/>
      <c r="B36" s="60"/>
      <c r="C36" s="74"/>
      <c r="D36" s="64"/>
      <c r="E36" s="65"/>
      <c r="F36" s="65"/>
      <c r="G36" s="74"/>
      <c r="H36" s="72"/>
      <c r="I36" s="74"/>
      <c r="J36" s="74"/>
      <c r="K36" s="113"/>
      <c r="L36" s="113"/>
      <c r="M36" s="113"/>
      <c r="N36" s="113"/>
      <c r="O36" s="74"/>
      <c r="P36" s="70"/>
      <c r="Q36" s="74"/>
      <c r="R36" s="112"/>
      <c r="S36" s="74"/>
      <c r="T36" s="74"/>
    </row>
    <row r="37" spans="1:21" ht="13" hidden="1">
      <c r="A37" s="323"/>
      <c r="B37" s="60"/>
      <c r="C37" s="74"/>
      <c r="D37" s="64"/>
      <c r="E37" s="65"/>
      <c r="F37" s="65"/>
      <c r="G37" s="74"/>
      <c r="H37" s="72"/>
      <c r="I37" s="74"/>
      <c r="J37" s="74"/>
      <c r="K37" s="113"/>
      <c r="L37" s="113"/>
      <c r="M37" s="113"/>
      <c r="N37" s="113"/>
      <c r="O37" s="74"/>
      <c r="P37" s="70"/>
      <c r="Q37" s="74"/>
      <c r="R37" s="112"/>
      <c r="S37" s="74"/>
      <c r="T37" s="125"/>
    </row>
    <row r="38" spans="1:21" ht="13" hidden="1">
      <c r="A38" s="58" t="s">
        <v>56</v>
      </c>
      <c r="B38" s="60">
        <v>505</v>
      </c>
      <c r="C38" s="67">
        <v>14</v>
      </c>
      <c r="D38" s="64">
        <v>2.8</v>
      </c>
      <c r="E38" s="65">
        <v>86</v>
      </c>
      <c r="F38" s="67">
        <v>98</v>
      </c>
      <c r="G38" s="74" t="s">
        <v>36</v>
      </c>
      <c r="H38" s="72" t="s">
        <v>26</v>
      </c>
      <c r="I38" s="74">
        <v>0.12</v>
      </c>
      <c r="J38" s="76">
        <v>799</v>
      </c>
      <c r="K38" s="79" t="str">
        <f>HYPERLINK("https://amzn.to/2SX2HUi","link*")</f>
        <v>link*</v>
      </c>
      <c r="L38" s="79" t="str">
        <f>HYPERLINK("https://www.bhphotovideo.com/c/product/1352863-REG/samyang_syio14af_e_14mm_f_2_8_f_f_wide.html/BI/19619/KBID/12129/DFF/d10-v21-t1-x837928/SID/EZ","link*")</f>
        <v>link*</v>
      </c>
      <c r="M38" s="79" t="str">
        <f>HYPERLINK("https://amzn.to/31hwSIL","link*")</f>
        <v>link*</v>
      </c>
      <c r="N38" s="79"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38" s="84">
        <v>20</v>
      </c>
      <c r="P38" s="70" t="s">
        <v>27</v>
      </c>
      <c r="Q38" s="74">
        <v>7</v>
      </c>
      <c r="R38" s="112">
        <v>43752</v>
      </c>
      <c r="S38" s="74" t="s">
        <v>38</v>
      </c>
      <c r="T38" s="88">
        <v>43221</v>
      </c>
    </row>
    <row r="39" spans="1:21" ht="15.75" hidden="1" customHeight="1">
      <c r="A39" s="323"/>
      <c r="B39" s="60"/>
      <c r="C39" s="74"/>
      <c r="D39" s="64"/>
      <c r="E39" s="65"/>
      <c r="F39" s="65"/>
      <c r="G39" s="74"/>
      <c r="H39" s="72"/>
      <c r="I39" s="74"/>
      <c r="J39" s="573"/>
      <c r="K39" s="113"/>
      <c r="L39" s="113"/>
      <c r="M39" s="113"/>
      <c r="N39" s="113"/>
      <c r="O39" s="74"/>
      <c r="P39" s="70"/>
      <c r="Q39" s="74"/>
      <c r="R39" s="112"/>
      <c r="S39" s="74"/>
      <c r="T39" s="125"/>
    </row>
    <row r="40" spans="1:21" ht="13" hidden="1">
      <c r="A40" s="323"/>
      <c r="B40" s="60"/>
      <c r="C40" s="74"/>
      <c r="D40" s="64"/>
      <c r="E40" s="65"/>
      <c r="F40" s="65"/>
      <c r="G40" s="74"/>
      <c r="H40" s="72"/>
      <c r="I40" s="239"/>
      <c r="J40" s="74"/>
      <c r="K40" s="113"/>
      <c r="L40" s="113"/>
      <c r="M40" s="113"/>
      <c r="N40" s="113"/>
      <c r="O40" s="74"/>
      <c r="P40" s="70"/>
      <c r="Q40" s="74"/>
      <c r="R40" s="112"/>
      <c r="S40" s="74"/>
      <c r="T40" s="74"/>
    </row>
    <row r="41" spans="1:21" ht="13" hidden="1">
      <c r="A41" s="198"/>
      <c r="B41" s="60"/>
      <c r="C41" s="74"/>
      <c r="D41" s="64"/>
      <c r="E41" s="65"/>
      <c r="F41" s="65"/>
      <c r="G41" s="328"/>
      <c r="H41" s="72"/>
      <c r="I41" s="74"/>
      <c r="J41" s="74"/>
      <c r="K41" s="113"/>
      <c r="L41" s="113"/>
      <c r="M41" s="113"/>
      <c r="N41" s="113"/>
      <c r="O41" s="74"/>
      <c r="P41" s="70"/>
      <c r="Q41" s="74"/>
      <c r="R41" s="112"/>
      <c r="S41" s="74"/>
      <c r="T41" s="125"/>
    </row>
    <row r="42" spans="1:21" ht="13" hidden="1">
      <c r="A42" s="198"/>
      <c r="B42" s="60"/>
      <c r="C42" s="74"/>
      <c r="D42" s="64"/>
      <c r="E42" s="65"/>
      <c r="F42" s="65"/>
      <c r="G42" s="74"/>
      <c r="H42" s="72"/>
      <c r="I42" s="74"/>
      <c r="J42" s="74"/>
      <c r="K42" s="113"/>
      <c r="L42" s="113"/>
      <c r="M42" s="113"/>
      <c r="N42" s="113"/>
      <c r="O42" s="74"/>
      <c r="P42" s="70"/>
      <c r="Q42" s="74"/>
      <c r="R42" s="112"/>
      <c r="S42" s="74"/>
      <c r="T42" s="74"/>
    </row>
    <row r="43" spans="1:21" ht="13" hidden="1">
      <c r="A43" s="323"/>
      <c r="B43" s="60"/>
      <c r="C43" s="74"/>
      <c r="D43" s="64"/>
      <c r="E43" s="65"/>
      <c r="F43" s="65"/>
      <c r="G43" s="74"/>
      <c r="H43" s="72"/>
      <c r="I43" s="74"/>
      <c r="J43" s="604"/>
      <c r="K43" s="113"/>
      <c r="L43" s="113"/>
      <c r="M43" s="113"/>
      <c r="N43" s="113"/>
      <c r="O43" s="74"/>
      <c r="P43" s="70"/>
      <c r="Q43" s="74"/>
      <c r="R43" s="112"/>
      <c r="S43" s="74"/>
      <c r="T43" s="74"/>
    </row>
    <row r="44" spans="1:21" ht="13">
      <c r="A44" s="126" t="str">
        <f>HYPERLINK("https://phillipreeve.net/blog/review-voigtlander-12mm-5-6-aspherical-ultra-wide-heliar/","Voigtlander 12mm F5.6 Ultra Wide-Heliar Aspherical")</f>
        <v>Voigtlander 12mm F5.6 Ultra Wide-Heliar Aspherical</v>
      </c>
      <c r="B44" s="60">
        <v>350</v>
      </c>
      <c r="C44" s="67">
        <v>12</v>
      </c>
      <c r="D44" s="64">
        <v>5.6</v>
      </c>
      <c r="E44" s="248">
        <v>67</v>
      </c>
      <c r="F44" s="246">
        <v>68</v>
      </c>
      <c r="G44" s="70" t="s">
        <v>25</v>
      </c>
      <c r="H44" s="72" t="s">
        <v>26</v>
      </c>
      <c r="I44" s="74"/>
      <c r="J44" s="76">
        <v>749</v>
      </c>
      <c r="K44" s="113"/>
      <c r="L44" s="113"/>
      <c r="M44" s="113"/>
      <c r="N44" s="79"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O44" s="84">
        <v>30</v>
      </c>
      <c r="P44" s="70" t="s">
        <v>27</v>
      </c>
      <c r="Q44" s="74">
        <v>10</v>
      </c>
      <c r="R44" s="86" t="s">
        <v>43</v>
      </c>
      <c r="S44" s="74" t="s">
        <v>29</v>
      </c>
      <c r="T44" s="88">
        <v>42583</v>
      </c>
      <c r="U44" s="77" t="s">
        <v>46</v>
      </c>
    </row>
    <row r="45" spans="1:21" ht="13" hidden="1">
      <c r="A45" s="323"/>
      <c r="B45" s="60"/>
      <c r="C45" s="74"/>
      <c r="D45" s="64"/>
      <c r="E45" s="463"/>
      <c r="F45" s="463"/>
      <c r="G45" s="74"/>
      <c r="H45" s="244"/>
      <c r="I45" s="74"/>
      <c r="J45" s="74"/>
      <c r="K45" s="113"/>
      <c r="L45" s="113"/>
      <c r="M45" s="113"/>
      <c r="N45" s="113"/>
      <c r="O45" s="74"/>
      <c r="P45" s="70"/>
      <c r="Q45" s="74"/>
      <c r="R45" s="112"/>
      <c r="S45" s="74"/>
      <c r="T45" s="125"/>
    </row>
    <row r="46" spans="1:21" ht="13" hidden="1">
      <c r="A46" s="323"/>
      <c r="B46" s="60"/>
      <c r="C46" s="74"/>
      <c r="D46" s="64"/>
      <c r="E46" s="65"/>
      <c r="F46" s="65"/>
      <c r="G46" s="74"/>
      <c r="H46" s="72"/>
      <c r="I46" s="239"/>
      <c r="J46" s="74"/>
      <c r="K46" s="113"/>
      <c r="L46" s="113"/>
      <c r="M46" s="113"/>
      <c r="N46" s="113"/>
      <c r="O46" s="74"/>
      <c r="P46" s="70"/>
      <c r="Q46" s="74"/>
      <c r="R46" s="112"/>
      <c r="S46" s="74"/>
      <c r="T46" s="125"/>
    </row>
    <row r="47" spans="1:21" ht="13" hidden="1">
      <c r="A47" s="337"/>
      <c r="B47" s="60"/>
      <c r="C47" s="74"/>
      <c r="D47" s="64"/>
      <c r="E47" s="65"/>
      <c r="F47" s="65"/>
      <c r="G47" s="74"/>
      <c r="H47" s="72"/>
      <c r="I47" s="74"/>
      <c r="J47" s="574"/>
      <c r="K47" s="113"/>
      <c r="L47" s="113"/>
      <c r="M47" s="113"/>
      <c r="N47" s="113"/>
      <c r="O47" s="74"/>
      <c r="P47" s="70"/>
      <c r="Q47" s="74"/>
      <c r="R47" s="112"/>
      <c r="S47" s="74"/>
      <c r="T47" s="125"/>
    </row>
    <row r="48" spans="1:21" ht="13" hidden="1">
      <c r="A48" s="326"/>
      <c r="B48" s="60"/>
      <c r="C48" s="74"/>
      <c r="D48" s="64"/>
      <c r="E48" s="65"/>
      <c r="F48" s="65"/>
      <c r="G48" s="74"/>
      <c r="H48" s="72"/>
      <c r="I48" s="201"/>
      <c r="J48" s="74"/>
      <c r="K48" s="113"/>
      <c r="L48" s="113"/>
      <c r="M48" s="113"/>
      <c r="N48" s="113"/>
      <c r="O48" s="74"/>
      <c r="P48" s="70"/>
      <c r="Q48" s="74"/>
      <c r="R48" s="112"/>
      <c r="S48" s="74"/>
      <c r="T48" s="125"/>
    </row>
    <row r="49" spans="1:20" ht="13" hidden="1">
      <c r="A49" s="126" t="str">
        <f>HYPERLINK("https://phillipreeve.net/blog/sony-fe-16-35mm-f4-za-t-review/","Sony ZA 4/16-35 OSS ")</f>
        <v xml:space="preserve">Sony ZA 4/16-35 OSS </v>
      </c>
      <c r="B49" s="60">
        <v>523</v>
      </c>
      <c r="C49" s="67">
        <v>16</v>
      </c>
      <c r="D49" s="64">
        <v>4</v>
      </c>
      <c r="E49" s="65">
        <v>78</v>
      </c>
      <c r="F49" s="67">
        <v>98</v>
      </c>
      <c r="G49" s="70" t="s">
        <v>36</v>
      </c>
      <c r="H49" s="72" t="s">
        <v>64</v>
      </c>
      <c r="I49" s="74">
        <v>0.19</v>
      </c>
      <c r="J49" s="76">
        <v>1349</v>
      </c>
      <c r="K49" s="79" t="str">
        <f>HYPERLINK("http://amzn.to/2v2sY7q","link*")</f>
        <v>link*</v>
      </c>
      <c r="L49" s="79" t="str">
        <f>HYPERLINK("https://www.bhphotovideo.com/c/product/1380866-REG/sony_16_35mm_f_4_vario_tsr.html/BI/19619/KBID/12129/kw/SO16354F/DFF/d10-v2-t1-xSO16354F","link*")</f>
        <v>link*</v>
      </c>
      <c r="M49" s="79" t="str">
        <f>HYPERLINK("http://amzn.to/2wyMLuP","link*")</f>
        <v>link*</v>
      </c>
      <c r="N49" s="7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49" s="84">
        <v>28</v>
      </c>
      <c r="P49" s="134" t="s">
        <v>66</v>
      </c>
      <c r="Q49" s="74">
        <v>7</v>
      </c>
      <c r="R49" s="136" t="s">
        <v>43</v>
      </c>
      <c r="S49" s="74" t="s">
        <v>41</v>
      </c>
      <c r="T49" s="88">
        <v>41883</v>
      </c>
    </row>
    <row r="50" spans="1:20" ht="13" hidden="1">
      <c r="A50" s="323"/>
      <c r="B50" s="60"/>
      <c r="C50" s="74"/>
      <c r="D50" s="64"/>
      <c r="E50" s="65"/>
      <c r="F50" s="65"/>
      <c r="G50" s="74"/>
      <c r="H50" s="72"/>
      <c r="I50" s="74"/>
      <c r="J50" s="74"/>
      <c r="K50" s="113"/>
      <c r="L50" s="113"/>
      <c r="M50" s="113"/>
      <c r="N50" s="113"/>
      <c r="O50" s="74"/>
      <c r="P50" s="70"/>
      <c r="Q50" s="74"/>
      <c r="R50" s="112"/>
      <c r="S50" s="74"/>
      <c r="T50" s="125"/>
    </row>
    <row r="51" spans="1:20" ht="13" hidden="1">
      <c r="A51" s="323"/>
      <c r="B51" s="60"/>
      <c r="C51" s="74"/>
      <c r="D51" s="64"/>
      <c r="E51" s="65"/>
      <c r="F51" s="65"/>
      <c r="G51" s="74"/>
      <c r="H51" s="72"/>
      <c r="I51" s="74"/>
      <c r="J51" s="74"/>
      <c r="K51" s="113"/>
      <c r="L51" s="113"/>
      <c r="M51" s="113"/>
      <c r="N51" s="113"/>
      <c r="O51" s="74"/>
      <c r="P51" s="70"/>
      <c r="Q51" s="74"/>
      <c r="R51" s="343"/>
      <c r="S51" s="74"/>
      <c r="T51" s="125"/>
    </row>
    <row r="52" spans="1:20" ht="13" hidden="1">
      <c r="A52" s="323"/>
      <c r="B52" s="60"/>
      <c r="C52" s="74"/>
      <c r="D52" s="64"/>
      <c r="E52" s="65"/>
      <c r="F52" s="65"/>
      <c r="G52" s="74"/>
      <c r="H52" s="72"/>
      <c r="I52" s="74"/>
      <c r="J52" s="74"/>
      <c r="K52" s="113"/>
      <c r="L52" s="113"/>
      <c r="M52" s="113"/>
      <c r="N52" s="113"/>
      <c r="O52" s="74"/>
      <c r="P52" s="70"/>
      <c r="Q52" s="74"/>
      <c r="R52" s="112"/>
      <c r="S52" s="74"/>
      <c r="T52" s="125"/>
    </row>
    <row r="53" spans="1:20" ht="13" hidden="1">
      <c r="A53" s="198"/>
      <c r="B53" s="60"/>
      <c r="C53" s="74"/>
      <c r="D53" s="64"/>
      <c r="E53" s="65"/>
      <c r="F53" s="65"/>
      <c r="G53" s="74"/>
      <c r="H53" s="72"/>
      <c r="I53" s="74"/>
      <c r="J53" s="573"/>
      <c r="K53" s="113"/>
      <c r="L53" s="113"/>
      <c r="M53" s="113"/>
      <c r="N53" s="113"/>
      <c r="O53" s="74"/>
      <c r="P53" s="70"/>
      <c r="Q53" s="74"/>
      <c r="R53" s="112"/>
      <c r="S53" s="74"/>
      <c r="T53" s="74"/>
    </row>
    <row r="54" spans="1:20" ht="13" hidden="1">
      <c r="A54" s="198"/>
      <c r="B54" s="60"/>
      <c r="C54" s="74"/>
      <c r="D54" s="64"/>
      <c r="E54" s="65"/>
      <c r="F54" s="65"/>
      <c r="G54" s="328"/>
      <c r="H54" s="72"/>
      <c r="I54" s="74"/>
      <c r="J54" s="74"/>
      <c r="K54" s="113"/>
      <c r="L54" s="113"/>
      <c r="M54" s="113"/>
      <c r="N54" s="113"/>
      <c r="O54" s="74"/>
      <c r="P54" s="70"/>
      <c r="Q54" s="74"/>
      <c r="R54" s="112"/>
      <c r="S54" s="74"/>
      <c r="T54" s="125"/>
    </row>
    <row r="55" spans="1:20" ht="13" hidden="1">
      <c r="A55" s="198"/>
      <c r="B55" s="60"/>
      <c r="C55" s="74"/>
      <c r="D55" s="64"/>
      <c r="E55" s="65"/>
      <c r="F55" s="65"/>
      <c r="G55" s="74"/>
      <c r="H55" s="72"/>
      <c r="I55" s="263"/>
      <c r="J55" s="574"/>
      <c r="K55" s="113"/>
      <c r="L55" s="113"/>
      <c r="M55" s="113"/>
      <c r="N55" s="113"/>
      <c r="O55" s="74"/>
      <c r="P55" s="70"/>
      <c r="Q55" s="74"/>
      <c r="R55" s="112"/>
      <c r="S55" s="74"/>
      <c r="T55" s="74"/>
    </row>
    <row r="56" spans="1:20" ht="13" hidden="1">
      <c r="A56" s="198"/>
      <c r="B56" s="60"/>
      <c r="C56" s="74"/>
      <c r="D56" s="64"/>
      <c r="E56" s="65"/>
      <c r="F56" s="65"/>
      <c r="G56" s="74"/>
      <c r="H56" s="72"/>
      <c r="I56" s="74"/>
      <c r="J56" s="74"/>
      <c r="K56" s="113"/>
      <c r="L56" s="113"/>
      <c r="M56" s="113"/>
      <c r="N56" s="113"/>
      <c r="O56" s="74"/>
      <c r="P56" s="70"/>
      <c r="Q56" s="74"/>
      <c r="R56" s="112"/>
      <c r="S56" s="74"/>
      <c r="T56" s="74"/>
    </row>
    <row r="57" spans="1:20" ht="13" hidden="1">
      <c r="A57" s="58" t="s">
        <v>67</v>
      </c>
      <c r="B57" s="60">
        <v>680</v>
      </c>
      <c r="C57" s="67">
        <v>16</v>
      </c>
      <c r="D57" s="64">
        <v>2.8</v>
      </c>
      <c r="E57" s="65">
        <v>89</v>
      </c>
      <c r="F57" s="67">
        <v>122</v>
      </c>
      <c r="G57" s="70" t="s">
        <v>36</v>
      </c>
      <c r="H57" s="72" t="s">
        <v>68</v>
      </c>
      <c r="I57" s="74">
        <v>0.19</v>
      </c>
      <c r="J57" s="76">
        <v>2199</v>
      </c>
      <c r="K57" s="79" t="str">
        <f>HYPERLINK("https://amzn.to/2SR0IRl","link*")</f>
        <v>link*</v>
      </c>
      <c r="L57" s="79" t="str">
        <f>HYPERLINK("https://www.bhphotovideo.com/c/product/1338516-REG/sony_sel1635gm_fe_16_35mm_f_2_8_gm.html/BI/19619/KBID/12129/DFF/d10-v21-t1-x822837/SID/EZ","link*")</f>
        <v>link*</v>
      </c>
      <c r="M57" s="79" t="str">
        <f>HYPERLINK("https://amzn.to/2T1ZxOU","link*")</f>
        <v>link*</v>
      </c>
      <c r="N57" s="79"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57" s="84">
        <v>28</v>
      </c>
      <c r="P57" s="70" t="s">
        <v>27</v>
      </c>
      <c r="Q57" s="74">
        <v>11</v>
      </c>
      <c r="R57" s="136" t="s">
        <v>72</v>
      </c>
      <c r="S57" s="74" t="s">
        <v>41</v>
      </c>
      <c r="T57" s="88">
        <v>42856</v>
      </c>
    </row>
    <row r="58" spans="1:20" ht="13" hidden="1">
      <c r="A58" s="323"/>
      <c r="B58" s="60"/>
      <c r="C58" s="74"/>
      <c r="D58" s="64"/>
      <c r="E58" s="65"/>
      <c r="F58" s="65"/>
      <c r="G58" s="74"/>
      <c r="H58" s="72"/>
      <c r="I58" s="263"/>
      <c r="J58" s="604"/>
      <c r="K58" s="113"/>
      <c r="L58" s="113"/>
      <c r="M58" s="113"/>
      <c r="N58" s="113"/>
      <c r="O58" s="74"/>
      <c r="P58" s="70"/>
      <c r="Q58" s="74"/>
      <c r="R58" s="112"/>
      <c r="S58" s="74"/>
      <c r="T58" s="125"/>
    </row>
    <row r="59" spans="1:20" ht="13" hidden="1">
      <c r="A59" s="323"/>
      <c r="B59" s="60"/>
      <c r="C59" s="74"/>
      <c r="D59" s="64"/>
      <c r="E59" s="65"/>
      <c r="F59" s="65"/>
      <c r="G59" s="74"/>
      <c r="H59" s="72"/>
      <c r="I59" s="239"/>
      <c r="J59" s="74"/>
      <c r="K59" s="113"/>
      <c r="L59" s="113"/>
      <c r="M59" s="113"/>
      <c r="N59" s="113"/>
      <c r="O59" s="74"/>
      <c r="P59" s="134"/>
      <c r="Q59" s="74"/>
      <c r="R59" s="115"/>
      <c r="S59" s="74"/>
      <c r="T59" s="74"/>
    </row>
    <row r="60" spans="1:20" ht="13" hidden="1">
      <c r="A60" s="323"/>
      <c r="B60" s="60"/>
      <c r="C60" s="74"/>
      <c r="D60" s="64"/>
      <c r="E60" s="65"/>
      <c r="F60" s="65"/>
      <c r="G60" s="74"/>
      <c r="H60" s="72"/>
      <c r="I60" s="201"/>
      <c r="J60" s="74"/>
      <c r="K60" s="113"/>
      <c r="L60" s="113"/>
      <c r="M60" s="113"/>
      <c r="N60" s="113"/>
      <c r="O60" s="74"/>
      <c r="P60" s="134"/>
      <c r="Q60" s="74"/>
      <c r="R60" s="343"/>
      <c r="S60" s="74"/>
      <c r="T60" s="74"/>
    </row>
    <row r="61" spans="1:20" ht="13" hidden="1">
      <c r="A61" s="198"/>
      <c r="B61" s="60"/>
      <c r="C61" s="74"/>
      <c r="D61" s="64"/>
      <c r="E61" s="65"/>
      <c r="F61" s="65"/>
      <c r="G61" s="74"/>
      <c r="H61" s="72"/>
      <c r="I61" s="125"/>
      <c r="J61" s="74"/>
      <c r="K61" s="113"/>
      <c r="L61" s="113"/>
      <c r="M61" s="113"/>
      <c r="N61" s="113"/>
      <c r="O61" s="74"/>
      <c r="P61" s="134"/>
      <c r="Q61" s="74"/>
      <c r="R61" s="115"/>
      <c r="S61" s="74"/>
      <c r="T61" s="74"/>
    </row>
    <row r="62" spans="1:20" ht="13" hidden="1">
      <c r="A62" s="198"/>
      <c r="B62" s="60"/>
      <c r="C62" s="74"/>
      <c r="D62" s="64"/>
      <c r="E62" s="65"/>
      <c r="F62" s="65"/>
      <c r="G62" s="74"/>
      <c r="H62" s="72"/>
      <c r="I62" s="74"/>
      <c r="J62" s="74"/>
      <c r="K62" s="113"/>
      <c r="L62" s="113"/>
      <c r="M62" s="113"/>
      <c r="N62" s="113"/>
      <c r="O62" s="74"/>
      <c r="P62" s="70"/>
      <c r="Q62" s="74"/>
      <c r="R62" s="112"/>
      <c r="S62" s="74"/>
      <c r="T62" s="74"/>
    </row>
    <row r="63" spans="1:20" ht="13" hidden="1">
      <c r="A63" s="323"/>
      <c r="B63" s="60"/>
      <c r="C63" s="74"/>
      <c r="D63" s="64"/>
      <c r="E63" s="65"/>
      <c r="F63" s="65"/>
      <c r="G63" s="74"/>
      <c r="H63" s="269"/>
      <c r="I63" s="74"/>
      <c r="J63" s="74"/>
      <c r="K63" s="113"/>
      <c r="L63" s="113"/>
      <c r="M63" s="113"/>
      <c r="N63" s="113"/>
      <c r="O63" s="74"/>
      <c r="P63" s="70"/>
      <c r="Q63" s="74"/>
      <c r="R63" s="343"/>
      <c r="S63" s="74"/>
      <c r="T63" s="125"/>
    </row>
    <row r="64" spans="1:20" ht="13" hidden="1">
      <c r="A64" s="323"/>
      <c r="B64" s="60"/>
      <c r="C64" s="74"/>
      <c r="D64" s="64"/>
      <c r="E64" s="65"/>
      <c r="F64" s="65"/>
      <c r="G64" s="74"/>
      <c r="H64" s="72"/>
      <c r="I64" s="74"/>
      <c r="J64" s="573"/>
      <c r="K64" s="113"/>
      <c r="L64" s="113"/>
      <c r="M64" s="113"/>
      <c r="N64" s="113"/>
      <c r="O64" s="74"/>
      <c r="P64" s="70"/>
      <c r="Q64" s="74"/>
      <c r="R64" s="112"/>
      <c r="S64" s="74"/>
      <c r="T64" s="125"/>
    </row>
    <row r="65" spans="1:20" ht="13" hidden="1">
      <c r="A65" s="198"/>
      <c r="B65" s="60"/>
      <c r="C65" s="74"/>
      <c r="D65" s="64"/>
      <c r="E65" s="65"/>
      <c r="F65" s="65"/>
      <c r="G65" s="74"/>
      <c r="H65" s="72"/>
      <c r="I65" s="74"/>
      <c r="J65" s="573"/>
      <c r="K65" s="113"/>
      <c r="L65" s="113"/>
      <c r="M65" s="113"/>
      <c r="N65" s="113"/>
      <c r="O65" s="74"/>
      <c r="P65" s="70"/>
      <c r="Q65" s="74"/>
      <c r="R65" s="112"/>
      <c r="S65" s="74"/>
      <c r="T65" s="74"/>
    </row>
    <row r="66" spans="1:20" ht="13" hidden="1">
      <c r="A66" s="526"/>
      <c r="B66" s="60"/>
      <c r="C66" s="74"/>
      <c r="D66" s="64"/>
      <c r="E66" s="65"/>
      <c r="F66" s="65"/>
      <c r="G66" s="74"/>
      <c r="H66" s="72"/>
      <c r="I66" s="74"/>
      <c r="J66" s="74"/>
      <c r="K66" s="113"/>
      <c r="L66" s="113"/>
      <c r="M66" s="113"/>
      <c r="N66" s="113"/>
      <c r="O66" s="74"/>
      <c r="P66" s="134"/>
      <c r="Q66" s="74"/>
      <c r="R66" s="112"/>
      <c r="S66" s="74"/>
      <c r="T66" s="125"/>
    </row>
    <row r="67" spans="1:20" ht="13" hidden="1">
      <c r="A67" s="323"/>
      <c r="B67" s="60"/>
      <c r="C67" s="74"/>
      <c r="D67" s="64"/>
      <c r="E67" s="463"/>
      <c r="F67" s="463"/>
      <c r="G67" s="328"/>
      <c r="H67" s="72"/>
      <c r="I67" s="74"/>
      <c r="J67" s="74"/>
      <c r="K67" s="113"/>
      <c r="L67" s="113"/>
      <c r="M67" s="113"/>
      <c r="N67" s="113"/>
      <c r="O67" s="74"/>
      <c r="P67" s="70"/>
      <c r="Q67" s="74"/>
      <c r="R67" s="112"/>
      <c r="S67" s="74"/>
      <c r="T67" s="125"/>
    </row>
    <row r="68" spans="1:20" ht="13" hidden="1">
      <c r="A68" s="323"/>
      <c r="B68" s="60"/>
      <c r="C68" s="74"/>
      <c r="D68" s="64"/>
      <c r="E68" s="463"/>
      <c r="F68" s="463"/>
      <c r="G68" s="74"/>
      <c r="H68" s="72"/>
      <c r="I68" s="74"/>
      <c r="J68" s="74"/>
      <c r="K68" s="113"/>
      <c r="L68" s="113"/>
      <c r="M68" s="113"/>
      <c r="N68" s="113"/>
      <c r="O68" s="74"/>
      <c r="P68" s="70"/>
      <c r="Q68" s="74"/>
      <c r="R68" s="112"/>
      <c r="S68" s="74"/>
      <c r="T68" s="125"/>
    </row>
    <row r="69" spans="1:20" ht="13" hidden="1">
      <c r="A69" s="198"/>
      <c r="B69" s="60"/>
      <c r="C69" s="74"/>
      <c r="D69" s="64"/>
      <c r="E69" s="65"/>
      <c r="F69" s="65"/>
      <c r="G69" s="328"/>
      <c r="H69" s="72"/>
      <c r="I69" s="74"/>
      <c r="J69" s="74"/>
      <c r="K69" s="113"/>
      <c r="L69" s="113"/>
      <c r="M69" s="113"/>
      <c r="N69" s="113"/>
      <c r="O69" s="74"/>
      <c r="P69" s="70"/>
      <c r="Q69" s="74"/>
      <c r="R69" s="112"/>
      <c r="S69" s="74"/>
      <c r="T69" s="125"/>
    </row>
    <row r="70" spans="1:20" ht="13" hidden="1">
      <c r="A70" s="198"/>
      <c r="B70" s="60"/>
      <c r="C70" s="74"/>
      <c r="D70" s="64"/>
      <c r="E70" s="65"/>
      <c r="F70" s="65"/>
      <c r="G70" s="74"/>
      <c r="H70" s="72"/>
      <c r="I70" s="263"/>
      <c r="J70" s="74"/>
      <c r="K70" s="113"/>
      <c r="L70" s="113"/>
      <c r="M70" s="113"/>
      <c r="N70" s="113"/>
      <c r="O70" s="74"/>
      <c r="P70" s="134"/>
      <c r="Q70" s="74"/>
      <c r="R70" s="112"/>
      <c r="S70" s="74"/>
      <c r="T70" s="74"/>
    </row>
    <row r="71" spans="1:20" ht="13" hidden="1">
      <c r="A71" s="323"/>
      <c r="B71" s="60"/>
      <c r="C71" s="74"/>
      <c r="D71" s="64"/>
      <c r="E71" s="65"/>
      <c r="F71" s="65"/>
      <c r="G71" s="74"/>
      <c r="H71" s="72"/>
      <c r="I71" s="239"/>
      <c r="J71" s="74"/>
      <c r="K71" s="113"/>
      <c r="L71" s="113"/>
      <c r="M71" s="113"/>
      <c r="N71" s="113"/>
      <c r="O71" s="74"/>
      <c r="P71" s="134"/>
      <c r="Q71" s="74"/>
      <c r="R71" s="112"/>
      <c r="S71" s="74"/>
      <c r="T71" s="74"/>
    </row>
    <row r="72" spans="1:20" ht="13" hidden="1">
      <c r="A72" s="323"/>
      <c r="B72" s="60"/>
      <c r="C72" s="74"/>
      <c r="D72" s="64"/>
      <c r="E72" s="65"/>
      <c r="F72" s="65"/>
      <c r="G72" s="74"/>
      <c r="H72" s="72"/>
      <c r="I72" s="263"/>
      <c r="J72" s="574"/>
      <c r="K72" s="113"/>
      <c r="L72" s="113"/>
      <c r="M72" s="113"/>
      <c r="N72" s="113"/>
      <c r="O72" s="74"/>
      <c r="P72" s="70"/>
      <c r="Q72" s="74"/>
      <c r="R72" s="112"/>
      <c r="S72" s="74"/>
      <c r="T72" s="74"/>
    </row>
    <row r="73" spans="1:20" ht="13" hidden="1">
      <c r="A73" s="323"/>
      <c r="B73" s="60"/>
      <c r="C73" s="74"/>
      <c r="D73" s="64"/>
      <c r="E73" s="65"/>
      <c r="F73" s="65"/>
      <c r="G73" s="74"/>
      <c r="H73" s="72"/>
      <c r="I73" s="239"/>
      <c r="J73" s="74"/>
      <c r="K73" s="113"/>
      <c r="L73" s="113"/>
      <c r="M73" s="113"/>
      <c r="N73" s="113"/>
      <c r="O73" s="74"/>
      <c r="P73" s="134"/>
      <c r="Q73" s="74"/>
      <c r="R73" s="115"/>
      <c r="S73" s="74"/>
      <c r="T73" s="74"/>
    </row>
    <row r="74" spans="1:20" ht="15.75" hidden="1" customHeight="1">
      <c r="A74" s="323"/>
      <c r="B74" s="60"/>
      <c r="C74" s="74"/>
      <c r="D74" s="64"/>
      <c r="E74" s="65"/>
      <c r="F74" s="65"/>
      <c r="G74" s="74"/>
      <c r="H74" s="278"/>
      <c r="I74" s="74"/>
      <c r="J74" s="74"/>
      <c r="K74" s="113"/>
      <c r="L74" s="113"/>
      <c r="M74" s="113"/>
      <c r="N74" s="113"/>
      <c r="O74" s="74"/>
      <c r="P74" s="70"/>
      <c r="Q74" s="74"/>
      <c r="R74" s="112"/>
      <c r="S74" s="74"/>
      <c r="T74" s="125"/>
    </row>
    <row r="75" spans="1:20" ht="13" hidden="1">
      <c r="A75" s="126" t="str">
        <f>HYPERLINK("https://phillipreeve.net/blog/review-tamron-17-28mm-f-2-8-di-iii-rxd/","Tamron 17-28mm f/2.8 Di III RXD")</f>
        <v>Tamron 17-28mm f/2.8 Di III RXD</v>
      </c>
      <c r="B75" s="60">
        <v>420</v>
      </c>
      <c r="C75" s="67">
        <v>17</v>
      </c>
      <c r="D75" s="64">
        <v>2.8</v>
      </c>
      <c r="E75" s="152">
        <v>73</v>
      </c>
      <c r="F75" s="67">
        <v>99</v>
      </c>
      <c r="G75" s="70" t="s">
        <v>36</v>
      </c>
      <c r="H75" s="72" t="s">
        <v>73</v>
      </c>
      <c r="I75" s="74">
        <v>0.19</v>
      </c>
      <c r="J75" s="156">
        <v>899</v>
      </c>
      <c r="K75" s="79" t="str">
        <f>HYPERLINK("https://amzn.to/2Hv3AyB","link*")</f>
        <v>link*</v>
      </c>
      <c r="L75" s="79" t="str">
        <f>HYPERLINK("https://www.bhphotovideo.com/c/product/1461529-REG/tamron_a046_17_28mm_f_2_8_di_iii.html/BI/19619/KBID/12129/DFF/d10-v21-t1-x946694/SID/EZ","link*")</f>
        <v>link*</v>
      </c>
      <c r="M75" s="79" t="str">
        <f>HYPERLINK("https://amzn.to/2YkrkQB","link*")</f>
        <v>link*</v>
      </c>
      <c r="N75" s="79"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75" s="84">
        <v>19</v>
      </c>
      <c r="P75" s="70" t="s">
        <v>27</v>
      </c>
      <c r="Q75" s="74">
        <v>9</v>
      </c>
      <c r="R75" s="136" t="s">
        <v>77</v>
      </c>
      <c r="S75" s="74" t="s">
        <v>78</v>
      </c>
      <c r="T75" s="88">
        <v>43647</v>
      </c>
    </row>
    <row r="76" spans="1:20" ht="13" hidden="1">
      <c r="A76" s="198"/>
      <c r="B76" s="60"/>
      <c r="C76" s="74"/>
      <c r="D76" s="64"/>
      <c r="E76" s="65"/>
      <c r="F76" s="65"/>
      <c r="G76" s="74"/>
      <c r="H76" s="236"/>
      <c r="I76" s="239"/>
      <c r="J76" s="74"/>
      <c r="K76" s="113"/>
      <c r="L76" s="113"/>
      <c r="M76" s="113"/>
      <c r="N76" s="113"/>
      <c r="O76" s="74"/>
      <c r="P76" s="70"/>
      <c r="Q76" s="74"/>
      <c r="R76" s="112"/>
      <c r="S76" s="74"/>
      <c r="T76" s="125"/>
    </row>
    <row r="77" spans="1:20" ht="13" hidden="1">
      <c r="A77" s="323"/>
      <c r="B77" s="60"/>
      <c r="C77" s="74"/>
      <c r="D77" s="64"/>
      <c r="E77" s="65"/>
      <c r="F77" s="65"/>
      <c r="G77" s="74"/>
      <c r="H77" s="236"/>
      <c r="I77" s="74"/>
      <c r="J77" s="574"/>
      <c r="K77" s="113"/>
      <c r="L77" s="113"/>
      <c r="M77" s="113"/>
      <c r="N77" s="113"/>
      <c r="O77" s="74"/>
      <c r="P77" s="70"/>
      <c r="Q77" s="74"/>
      <c r="R77" s="112"/>
      <c r="S77" s="74"/>
      <c r="T77" s="125"/>
    </row>
    <row r="78" spans="1:20" ht="13" hidden="1">
      <c r="A78" s="198"/>
      <c r="B78" s="60"/>
      <c r="C78" s="74"/>
      <c r="D78" s="64"/>
      <c r="E78" s="65"/>
      <c r="F78" s="65"/>
      <c r="G78" s="74"/>
      <c r="H78" s="72"/>
      <c r="I78" s="74"/>
      <c r="J78" s="74"/>
      <c r="K78" s="113"/>
      <c r="L78" s="113"/>
      <c r="M78" s="113"/>
      <c r="N78" s="113"/>
      <c r="O78" s="74"/>
      <c r="P78" s="134"/>
      <c r="Q78" s="74"/>
      <c r="R78" s="112"/>
      <c r="S78" s="74"/>
      <c r="T78" s="125"/>
    </row>
    <row r="79" spans="1:20" ht="13" hidden="1">
      <c r="A79" s="337"/>
      <c r="B79" s="60"/>
      <c r="C79" s="74"/>
      <c r="D79" s="64"/>
      <c r="E79" s="65"/>
      <c r="F79" s="65"/>
      <c r="G79" s="74"/>
      <c r="H79" s="244"/>
      <c r="I79" s="320"/>
      <c r="J79" s="74"/>
      <c r="K79" s="113"/>
      <c r="L79" s="113"/>
      <c r="M79" s="113"/>
      <c r="N79" s="113"/>
      <c r="O79" s="74"/>
      <c r="P79" s="134"/>
      <c r="Q79" s="74"/>
      <c r="R79" s="115"/>
      <c r="S79" s="74"/>
      <c r="T79" s="74"/>
    </row>
    <row r="80" spans="1:20" ht="13" hidden="1">
      <c r="A80" s="323"/>
      <c r="B80" s="60"/>
      <c r="C80" s="74"/>
      <c r="D80" s="64"/>
      <c r="E80" s="65"/>
      <c r="F80" s="65"/>
      <c r="G80" s="74"/>
      <c r="H80" s="72"/>
      <c r="I80" s="320"/>
      <c r="J80" s="74"/>
      <c r="K80" s="113"/>
      <c r="L80" s="113"/>
      <c r="M80" s="113"/>
      <c r="N80" s="113"/>
      <c r="O80" s="74"/>
      <c r="P80" s="134"/>
      <c r="Q80" s="74"/>
      <c r="R80" s="115"/>
      <c r="S80" s="74"/>
      <c r="T80" s="74"/>
    </row>
    <row r="81" spans="1:21" ht="13" hidden="1">
      <c r="A81" s="401"/>
      <c r="B81" s="282"/>
      <c r="C81" s="285"/>
      <c r="D81" s="284"/>
      <c r="E81" s="558"/>
      <c r="F81" s="558"/>
      <c r="G81" s="285"/>
      <c r="H81" s="286"/>
      <c r="I81" s="285"/>
      <c r="J81" s="285"/>
      <c r="K81" s="113"/>
      <c r="L81" s="113"/>
      <c r="M81" s="113"/>
      <c r="N81" s="113"/>
      <c r="O81" s="285"/>
      <c r="P81" s="134"/>
      <c r="Q81" s="285"/>
      <c r="R81" s="288"/>
      <c r="S81" s="285"/>
      <c r="T81" s="285"/>
    </row>
    <row r="82" spans="1:21" ht="13" hidden="1">
      <c r="A82" s="126" t="str">
        <f>HYPERLINK("https://phillipreeve.net/blog/review-zeiss-batis-18mm-2-8/","Zeiss Batis 2.8/18")</f>
        <v>Zeiss Batis 2.8/18</v>
      </c>
      <c r="B82" s="60">
        <v>330</v>
      </c>
      <c r="C82" s="67">
        <v>18</v>
      </c>
      <c r="D82" s="64">
        <v>2.8</v>
      </c>
      <c r="E82" s="65">
        <v>100</v>
      </c>
      <c r="F82" s="67">
        <v>80</v>
      </c>
      <c r="G82" s="70" t="s">
        <v>36</v>
      </c>
      <c r="H82" s="72" t="s">
        <v>80</v>
      </c>
      <c r="I82" s="74">
        <v>0.1</v>
      </c>
      <c r="J82" s="76">
        <v>1499</v>
      </c>
      <c r="K82" s="79" t="str">
        <f>HYPERLINK("https://amzn.to/2SRFBhL","link*")</f>
        <v>link*</v>
      </c>
      <c r="L82" s="79" t="str">
        <f>HYPERLINK("https://www.bhphotovideo.com/c/product/1243591-REG/zeiss_2136_691_batis_18mm_f_2_8_lens.html/BI/19619/KBID/12129/DFF/d10-v21-t1-x727488/SID/EZ","link*")</f>
        <v>link*</v>
      </c>
      <c r="M82" s="79" t="str">
        <f>HYPERLINK("https://amzn.to/334PqNT","link*")</f>
        <v>link*</v>
      </c>
      <c r="N82" s="7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82" s="84">
        <v>25</v>
      </c>
      <c r="P82" s="70" t="s">
        <v>27</v>
      </c>
      <c r="Q82" s="74">
        <v>9</v>
      </c>
      <c r="R82" s="136" t="s">
        <v>86</v>
      </c>
      <c r="S82" s="74" t="s">
        <v>87</v>
      </c>
      <c r="T82" s="88">
        <v>42491</v>
      </c>
    </row>
    <row r="83" spans="1:21" ht="13" hidden="1">
      <c r="A83" s="163" t="s">
        <v>88</v>
      </c>
      <c r="B83" s="60">
        <v>145</v>
      </c>
      <c r="C83" s="67">
        <v>18</v>
      </c>
      <c r="D83" s="64">
        <v>2.8</v>
      </c>
      <c r="E83" s="65">
        <v>63.5</v>
      </c>
      <c r="F83" s="67">
        <v>60.5</v>
      </c>
      <c r="G83" s="70" t="s">
        <v>36</v>
      </c>
      <c r="H83" s="72" t="s">
        <v>71</v>
      </c>
      <c r="I83" s="74">
        <v>0.09</v>
      </c>
      <c r="J83" s="76">
        <v>399</v>
      </c>
      <c r="K83" s="121"/>
      <c r="L83" s="79" t="str">
        <f>HYPERLINK("https://www.bhphotovideo.com/c/product/1503295-REG/samyang_syio18af_e_af_18mm_f_2_8_fe.html/BI/19619/KBID/12129/DFF/d10-v21-t1-x985623/SID/EZ","link*")</f>
        <v>link*</v>
      </c>
      <c r="M83" s="121"/>
      <c r="N83" s="121"/>
      <c r="O83" s="84">
        <v>25</v>
      </c>
      <c r="P83" s="70" t="s">
        <v>27</v>
      </c>
      <c r="Q83" s="74">
        <v>7</v>
      </c>
      <c r="R83" s="136" t="s">
        <v>91</v>
      </c>
      <c r="S83" s="74" t="s">
        <v>38</v>
      </c>
      <c r="T83" s="88">
        <v>43723</v>
      </c>
    </row>
    <row r="84" spans="1:21" ht="13" hidden="1">
      <c r="A84" s="58" t="s">
        <v>92</v>
      </c>
      <c r="B84" s="60">
        <v>950</v>
      </c>
      <c r="C84" s="67">
        <v>20</v>
      </c>
      <c r="D84" s="165">
        <v>1.4</v>
      </c>
      <c r="E84" s="65">
        <v>91</v>
      </c>
      <c r="F84" s="67">
        <v>130</v>
      </c>
      <c r="G84" s="74" t="s">
        <v>36</v>
      </c>
      <c r="H84" s="72" t="s">
        <v>26</v>
      </c>
      <c r="I84" s="74">
        <v>0.14000000000000001</v>
      </c>
      <c r="J84" s="76">
        <v>899</v>
      </c>
      <c r="K84" s="79" t="str">
        <f>HYPERLINK("https://amzn.to/2K4J7nh","link*")</f>
        <v>link*</v>
      </c>
      <c r="L84" s="79" t="str">
        <f>HYPERLINK("https://amzn.to/31hxv55","link*")</f>
        <v>link*</v>
      </c>
      <c r="M84" s="79" t="str">
        <f>HYPERLINK("https://amzn.to/2Wy0d3F","link*")</f>
        <v>link*</v>
      </c>
      <c r="N84" s="79"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O84" s="84">
        <v>28</v>
      </c>
      <c r="P84" s="70" t="s">
        <v>27</v>
      </c>
      <c r="Q84" s="74">
        <v>9</v>
      </c>
      <c r="R84" s="112">
        <v>43784</v>
      </c>
      <c r="S84" s="74" t="s">
        <v>47</v>
      </c>
      <c r="T84" s="88">
        <v>43221</v>
      </c>
      <c r="U84" s="77" t="s">
        <v>48</v>
      </c>
    </row>
    <row r="85" spans="1:21" ht="13" hidden="1">
      <c r="A85" s="58" t="s">
        <v>104</v>
      </c>
      <c r="B85" s="60">
        <v>775</v>
      </c>
      <c r="C85" s="67">
        <v>20</v>
      </c>
      <c r="D85" s="100">
        <v>1.8</v>
      </c>
      <c r="E85" s="65">
        <v>77</v>
      </c>
      <c r="F85" s="67">
        <v>102</v>
      </c>
      <c r="G85" s="74" t="s">
        <v>25</v>
      </c>
      <c r="H85" s="72" t="s">
        <v>68</v>
      </c>
      <c r="I85" s="74">
        <v>0.12</v>
      </c>
      <c r="J85" s="76">
        <v>486</v>
      </c>
      <c r="K85" s="79" t="str">
        <f>HYPERLINK("https://amzn.to/2LRRbJ5","link*")</f>
        <v>link*</v>
      </c>
      <c r="L85" s="79" t="str">
        <f>HYPERLINK("https://www.bhphotovideo.com/c/product/1469187-REG/viltrox_pfu_rbmh_20mm_f1_8_asph_e_mount_20mm_f_1_8_for_sony.html/BI/19619/KBID/12129/DFF/d10-v21-t1-x954299/SID/EZ","link*")</f>
        <v>link*</v>
      </c>
      <c r="M85" s="79" t="str">
        <f>HYPERLINK("https://amzn.to/2GL8iYV","link*")</f>
        <v>link*</v>
      </c>
      <c r="N85" s="79"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O85" s="84">
        <v>25</v>
      </c>
      <c r="P85" s="70" t="s">
        <v>27</v>
      </c>
      <c r="Q85" s="74">
        <v>14</v>
      </c>
      <c r="R85" s="112">
        <v>43720</v>
      </c>
      <c r="S85" s="74" t="s">
        <v>106</v>
      </c>
      <c r="T85" s="88">
        <v>43586</v>
      </c>
    </row>
    <row r="86" spans="1:21" ht="13" hidden="1">
      <c r="A86" s="126" t="str">
        <f>HYPERLINK("https://phillipreeve.net/blog/tokina-firin-20mm-f2-fe-review-a-good-deal/","Tokina Firin 2/20")</f>
        <v>Tokina Firin 2/20</v>
      </c>
      <c r="B86" s="60">
        <v>492</v>
      </c>
      <c r="C86" s="67">
        <v>20</v>
      </c>
      <c r="D86" s="173">
        <v>2</v>
      </c>
      <c r="E86" s="187">
        <v>69</v>
      </c>
      <c r="F86" s="188">
        <v>82</v>
      </c>
      <c r="G86" s="70" t="s">
        <v>25</v>
      </c>
      <c r="H86" s="72" t="s">
        <v>101</v>
      </c>
      <c r="I86" s="74">
        <v>0.1</v>
      </c>
      <c r="J86" s="184">
        <v>799</v>
      </c>
      <c r="K86" s="79" t="str">
        <f>HYPERLINK("http://amzn.to/2vlG2Yq","link*")</f>
        <v>link*</v>
      </c>
      <c r="L86" s="79" t="str">
        <f>HYPERLINK("https://www.bhphotovideo.com/c/product/1281299-REG/tokina_firin_20mm_f_2_fe.html/BI/19619/KBID/12129/kw/TO202E/DFF/d10-v2-t1-xTO202E","link*")</f>
        <v>link*</v>
      </c>
      <c r="M86" s="79" t="str">
        <f>HYPERLINK("http://amzn.to/2vvtDkM","link*")</f>
        <v>link*</v>
      </c>
      <c r="N86" s="79"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c r="O86" s="84">
        <v>30</v>
      </c>
      <c r="P86" s="70" t="s">
        <v>27</v>
      </c>
      <c r="Q86" s="74">
        <v>9</v>
      </c>
      <c r="R86" s="136" t="s">
        <v>77</v>
      </c>
      <c r="S86" s="74" t="s">
        <v>103</v>
      </c>
      <c r="T86" s="88">
        <v>42856</v>
      </c>
    </row>
    <row r="87" spans="1:21" ht="13" hidden="1">
      <c r="A87" s="58" t="s">
        <v>97</v>
      </c>
      <c r="B87" s="60">
        <v>464</v>
      </c>
      <c r="C87" s="67">
        <v>20</v>
      </c>
      <c r="D87" s="173">
        <v>2</v>
      </c>
      <c r="E87" s="175">
        <v>73</v>
      </c>
      <c r="F87" s="176">
        <v>82</v>
      </c>
      <c r="G87" s="70" t="s">
        <v>36</v>
      </c>
      <c r="H87" s="72" t="s">
        <v>101</v>
      </c>
      <c r="I87" s="74">
        <v>0.1</v>
      </c>
      <c r="J87" s="76">
        <v>949</v>
      </c>
      <c r="K87" s="79" t="str">
        <f>HYPERLINK("https://amzn.to/2GDurZb","link*")</f>
        <v>link*</v>
      </c>
      <c r="L87" s="79" t="str">
        <f>HYPERLINK("https://www.bhphotovideo.com/c/product/1393327-REG/tokina_firin_20mm_f_2_fe.html/BI/19619/KBID/12129/DFF/d10-v21-t1-x880327/SID/EZ","link*")</f>
        <v>link*</v>
      </c>
      <c r="M87" s="79" t="str">
        <f>HYPERLINK("https://amzn.to/2GJYCxw","link*")</f>
        <v>link*</v>
      </c>
      <c r="N87" s="79"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87" s="84">
        <v>30</v>
      </c>
      <c r="P87" s="70" t="s">
        <v>27</v>
      </c>
      <c r="Q87" s="74">
        <v>9</v>
      </c>
      <c r="R87" s="136" t="s">
        <v>77</v>
      </c>
      <c r="S87" s="74" t="s">
        <v>103</v>
      </c>
      <c r="T87" s="88">
        <v>43221</v>
      </c>
    </row>
    <row r="88" spans="1:21" ht="13" hidden="1">
      <c r="A88" s="126" t="str">
        <f>HYPERLINK("https://phillipreeve.net/blog/review_voigtlander_21mm_f14_e/","Voigtlander 21mm F1.4 Nokton")</f>
        <v>Voigtlander 21mm F1.4 Nokton</v>
      </c>
      <c r="B88" s="60">
        <v>540</v>
      </c>
      <c r="C88" s="67">
        <v>21</v>
      </c>
      <c r="D88" s="192">
        <v>1.4</v>
      </c>
      <c r="E88" s="194">
        <v>70</v>
      </c>
      <c r="F88" s="195">
        <v>80</v>
      </c>
      <c r="G88" s="70" t="s">
        <v>25</v>
      </c>
      <c r="H88" s="72" t="s">
        <v>101</v>
      </c>
      <c r="I88" s="74"/>
      <c r="J88" s="76">
        <v>1199</v>
      </c>
      <c r="K88" s="79" t="str">
        <f>HYPERLINK("https://amzn.to/2K7gHrC","link*")</f>
        <v>link*</v>
      </c>
      <c r="L88" s="79" t="str">
        <f>HYPERLINK("https://www.bhphotovideo.com/c/product/1480269-REG/voigtlander_ba352a_nokton_21mm_f_1_4_aspherical.html/BI/19619/KBID/12129/DFF/d10-v21-t1-x963269/SID/EZ","link*")</f>
        <v>link*</v>
      </c>
      <c r="M88" s="113"/>
      <c r="N88" s="79"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c r="O88" s="84">
        <v>25</v>
      </c>
      <c r="P88" s="70" t="s">
        <v>27</v>
      </c>
      <c r="Q88" s="74">
        <v>12</v>
      </c>
      <c r="R88" s="136" t="s">
        <v>77</v>
      </c>
      <c r="S88" s="74" t="s">
        <v>29</v>
      </c>
      <c r="T88" s="88">
        <v>43617</v>
      </c>
    </row>
    <row r="89" spans="1:21" ht="13" hidden="1">
      <c r="A89" s="126" t="str">
        <f>HYPERLINK("https://phillipreeve.net/blog/rolling-review-zeiss-loxia-distagon-2-821mm-t/https://phillipreeve.net/blog/rolling-review-zeiss-loxia-distagon-2-821mm-t/","Zeiss Loxia 2.8/21 Distagon T*")</f>
        <v>Zeiss Loxia 2.8/21 Distagon T*</v>
      </c>
      <c r="B89" s="60">
        <v>394</v>
      </c>
      <c r="C89" s="67">
        <v>21</v>
      </c>
      <c r="D89" s="64">
        <v>2.8</v>
      </c>
      <c r="E89" s="194">
        <v>62</v>
      </c>
      <c r="F89" s="195">
        <v>72</v>
      </c>
      <c r="G89" s="70" t="s">
        <v>25</v>
      </c>
      <c r="H89" s="72" t="s">
        <v>131</v>
      </c>
      <c r="I89" s="74">
        <v>0.13</v>
      </c>
      <c r="J89" s="76">
        <v>1499</v>
      </c>
      <c r="K89" s="79" t="str">
        <f>HYPERLINK("https://amzn.to/2yspzBm","link*")</f>
        <v>link*</v>
      </c>
      <c r="L89" s="79" t="str">
        <f>HYPERLINK("https://www.bhphotovideo.com/c/product/1189220-REG/zeiss_2131_999_loxia_21mm_f_2_8_lens.html/BI/19619/KBID/12129/DFF/d10-v21-t1-x677077/SID/EZ","link*")</f>
        <v>link*</v>
      </c>
      <c r="M89" s="79" t="str">
        <f>HYPERLINK("https://amzn.to/2GHSOoA","link*")</f>
        <v>link*</v>
      </c>
      <c r="N89" s="79"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c r="O89" s="84">
        <v>25</v>
      </c>
      <c r="P89" s="70" t="s">
        <v>27</v>
      </c>
      <c r="Q89" s="74">
        <v>10</v>
      </c>
      <c r="R89" s="136" t="s">
        <v>132</v>
      </c>
      <c r="S89" s="74" t="s">
        <v>87</v>
      </c>
      <c r="T89" s="88">
        <v>42339</v>
      </c>
    </row>
    <row r="90" spans="1:21" ht="13" hidden="1">
      <c r="A90" s="126" t="str">
        <f>HYPERLINK("https://phillipreeve.net/blog/voigtlander-21mm-f35-review/","Voigtlander 21mm F3.5 Color-Skopar")</f>
        <v>Voigtlander 21mm F3.5 Color-Skopar</v>
      </c>
      <c r="B90" s="60">
        <v>230</v>
      </c>
      <c r="C90" s="67">
        <v>21</v>
      </c>
      <c r="D90" s="64">
        <v>3.5</v>
      </c>
      <c r="E90" s="194">
        <v>63</v>
      </c>
      <c r="F90" s="176">
        <v>40</v>
      </c>
      <c r="G90" s="70" t="s">
        <v>25</v>
      </c>
      <c r="H90" s="72" t="s">
        <v>131</v>
      </c>
      <c r="I90" s="125"/>
      <c r="J90" s="76">
        <v>699</v>
      </c>
      <c r="K90" s="79" t="str">
        <f>HYPERLINK("https://amzn.to/2JCie75","link*")</f>
        <v>link*</v>
      </c>
      <c r="L90" s="79" t="str">
        <f>HYPERLINK("https://www.bhphotovideo.com/c/product/1437613-REG/voigtlander_color_skopar_21mm_f_3_5_aspherical.html/BI/19619/KBID/12129/kw/VO2135E/DFF/d10-v2-t1-xVO2135E","link*")</f>
        <v>link*</v>
      </c>
      <c r="M90" s="79" t="str">
        <f>HYPERLINK("https://amzn.to/2ZoERan","link*")</f>
        <v>link*</v>
      </c>
      <c r="N90" s="79"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O90" s="84">
        <v>20</v>
      </c>
      <c r="P90" s="70" t="s">
        <v>27</v>
      </c>
      <c r="Q90" s="74">
        <v>10</v>
      </c>
      <c r="R90" s="136" t="s">
        <v>91</v>
      </c>
      <c r="S90" s="74" t="s">
        <v>29</v>
      </c>
      <c r="T90" s="88">
        <v>43374</v>
      </c>
    </row>
    <row r="91" spans="1:21" ht="13" hidden="1">
      <c r="A91" s="126" t="str">
        <f>HYPERLINK("https://phillipreeve.net/blog/review-sony-fe-24mm-1-4-gm/","Sony GM 1.4/24")</f>
        <v>Sony GM 1.4/24</v>
      </c>
      <c r="B91" s="60">
        <v>445</v>
      </c>
      <c r="C91" s="67">
        <v>24</v>
      </c>
      <c r="D91" s="192">
        <v>1.4</v>
      </c>
      <c r="E91" s="194">
        <v>75</v>
      </c>
      <c r="F91" s="195">
        <v>92</v>
      </c>
      <c r="G91" s="70" t="s">
        <v>36</v>
      </c>
      <c r="H91" s="72" t="s">
        <v>73</v>
      </c>
      <c r="I91" s="74">
        <v>0.17</v>
      </c>
      <c r="J91" s="76">
        <v>1399</v>
      </c>
      <c r="K91" s="79" t="str">
        <f>HYPERLINK("https://amzn.to/2ywcbw1","link*")</f>
        <v>link*</v>
      </c>
      <c r="L91" s="79" t="str">
        <f>HYPERLINK("https://www.bhphotovideo.com/c/product/1435887-REG/sony_fe_24mm_f_1_4_gm.html/BI/19619/KBID/12129/DFF/d10-v21-t1-x915647/SID/EZ","link*")</f>
        <v>link*</v>
      </c>
      <c r="M91" s="79" t="str">
        <f>HYPERLINK("https://amzn.to/2L2tV9y","link*")</f>
        <v>link*</v>
      </c>
      <c r="N91" s="79" t="str">
        <f>HYPERLINK("https://amzn.to/338yg28","link*")</f>
        <v>link*</v>
      </c>
      <c r="O91" s="84">
        <v>25</v>
      </c>
      <c r="P91" s="70" t="s">
        <v>27</v>
      </c>
      <c r="Q91" s="74">
        <v>11</v>
      </c>
      <c r="R91" s="136" t="s">
        <v>28</v>
      </c>
      <c r="S91" s="74" t="s">
        <v>41</v>
      </c>
      <c r="T91" s="88">
        <v>43374</v>
      </c>
    </row>
    <row r="92" spans="1:21" ht="13" hidden="1">
      <c r="A92" s="58" t="s">
        <v>121</v>
      </c>
      <c r="B92" s="60">
        <v>665</v>
      </c>
      <c r="C92" s="67">
        <v>24</v>
      </c>
      <c r="D92" s="192">
        <v>1.4</v>
      </c>
      <c r="E92" s="194">
        <v>85</v>
      </c>
      <c r="F92" s="195">
        <v>90</v>
      </c>
      <c r="G92" s="74" t="s">
        <v>36</v>
      </c>
      <c r="H92" s="72" t="s">
        <v>80</v>
      </c>
      <c r="I92" s="74">
        <v>0.19</v>
      </c>
      <c r="J92" s="76">
        <v>849</v>
      </c>
      <c r="K92" s="79" t="str">
        <f>HYPERLINK("https://amzn.to/2Isw2Rv","link*")</f>
        <v>link*</v>
      </c>
      <c r="L92" s="79" t="str">
        <f>HYPERLINK("https://www.bhphotovideo.com/c/product/1393491-REG/sigma_24mm_f_1_4_dg_hsm.html/BI/19619/KBID/12129/kw/SI2414SO/DFF/d10-v2-t1-xSI2414SO","link*")</f>
        <v>link*</v>
      </c>
      <c r="M92" s="79" t="str">
        <f>HYPERLINK("https://amzn.to/2K7sIP4","link*")</f>
        <v>link*</v>
      </c>
      <c r="N92" s="79"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O92" s="84">
        <v>25</v>
      </c>
      <c r="P92" s="70" t="s">
        <v>27</v>
      </c>
      <c r="Q92" s="74">
        <v>9</v>
      </c>
      <c r="R92" s="112">
        <v>43784</v>
      </c>
      <c r="S92" s="74" t="s">
        <v>47</v>
      </c>
      <c r="T92" s="88">
        <v>43221</v>
      </c>
      <c r="U92" s="77" t="s">
        <v>48</v>
      </c>
    </row>
    <row r="93" spans="1:21" ht="13" hidden="1">
      <c r="A93" s="126" t="str">
        <f>HYPERLINK("https://phillipreeve.net/blog/review-samyang-af-2-4-28-fe-at-least-its-small/","Samyang AF 24mm F/2.8")</f>
        <v>Samyang AF 24mm F/2.8</v>
      </c>
      <c r="B93" s="60">
        <v>93</v>
      </c>
      <c r="C93" s="67">
        <v>24</v>
      </c>
      <c r="D93" s="64">
        <v>2.8</v>
      </c>
      <c r="E93" s="194">
        <v>61</v>
      </c>
      <c r="F93" s="176">
        <v>37</v>
      </c>
      <c r="G93" s="70" t="s">
        <v>36</v>
      </c>
      <c r="H93" s="72" t="s">
        <v>124</v>
      </c>
      <c r="I93" s="74">
        <v>0.15</v>
      </c>
      <c r="J93" s="184">
        <v>279</v>
      </c>
      <c r="K93" s="79" t="str">
        <f>HYPERLINK("https://amzn.to/2NEHZ7c","link*")</f>
        <v>link*</v>
      </c>
      <c r="L93" s="79" t="str">
        <f>HYPERLINK("https://www.bhphotovideo.com/c/product/1413350-REG/samyang_syio24af_e_af_24mm_f_2_8_fe.html/BI/19619/KBID/12129/kw/SASYIO24AFE/DFF/d10-v2-t1-xSASYIO24AFE","link*")</f>
        <v>link*</v>
      </c>
      <c r="M93" s="79" t="str">
        <f>HYPERLINK("https://amzn.to/2Onv1QE","link*")</f>
        <v>link*</v>
      </c>
      <c r="N93"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93" s="84">
        <v>20</v>
      </c>
      <c r="P93" s="70" t="s">
        <v>27</v>
      </c>
      <c r="Q93" s="74">
        <v>9</v>
      </c>
      <c r="R93" s="136" t="s">
        <v>127</v>
      </c>
      <c r="S93" s="74" t="s">
        <v>38</v>
      </c>
      <c r="T93" s="88">
        <v>43282</v>
      </c>
    </row>
    <row r="94" spans="1:21" ht="13" hidden="1">
      <c r="A94" s="196" t="str">
        <f>HYPERLINK("https://phillipreeve.net/blog/review-sony-fe-2-824-70mm-gm/","Sony GM 2.8/24-70")</f>
        <v>Sony GM 2.8/24-70</v>
      </c>
      <c r="B94" s="60">
        <v>886</v>
      </c>
      <c r="C94" s="67">
        <v>24</v>
      </c>
      <c r="D94" s="64">
        <v>2.8</v>
      </c>
      <c r="E94" s="194">
        <v>88</v>
      </c>
      <c r="F94" s="176">
        <v>136</v>
      </c>
      <c r="G94" s="70" t="s">
        <v>36</v>
      </c>
      <c r="H94" s="72" t="s">
        <v>68</v>
      </c>
      <c r="I94" s="201">
        <v>0.25</v>
      </c>
      <c r="J94" s="76">
        <v>2199</v>
      </c>
      <c r="K94" s="79" t="str">
        <f>HYPERLINK("https://amzn.to/2STHavK","link*")</f>
        <v>link*</v>
      </c>
      <c r="L94" s="79" t="str">
        <f>HYPERLINK("https://www.bhphotovideo.com/c/search?Ntt=gm%2024-70&amp;N=0&amp;InitialSearch=yes&amp;sts=ma&amp;Top+Nav-Search=&amp;BI=19619&amp;KBID=12129&amp;KWID=EZ","link*")</f>
        <v>link*</v>
      </c>
      <c r="M94" s="79" t="str">
        <f>HYPERLINK("https://amzn.to/2ZwoyU7","link*")</f>
        <v>link*</v>
      </c>
      <c r="N94"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94" s="84">
        <v>38</v>
      </c>
      <c r="P94" s="70" t="s">
        <v>27</v>
      </c>
      <c r="Q94" s="74">
        <v>11</v>
      </c>
      <c r="R94" s="136" t="s">
        <v>54</v>
      </c>
      <c r="S94" s="74" t="s">
        <v>41</v>
      </c>
      <c r="T94" s="88">
        <v>42401</v>
      </c>
    </row>
    <row r="95" spans="1:21" ht="13" hidden="1">
      <c r="A95" s="58" t="s">
        <v>129</v>
      </c>
      <c r="B95" s="60">
        <v>780</v>
      </c>
      <c r="C95" s="67">
        <v>24</v>
      </c>
      <c r="D95" s="64" t="s">
        <v>130</v>
      </c>
      <c r="E95" s="194">
        <v>80</v>
      </c>
      <c r="F95" s="176">
        <v>119</v>
      </c>
      <c r="G95" s="70" t="s">
        <v>36</v>
      </c>
      <c r="H95" s="72" t="s">
        <v>64</v>
      </c>
      <c r="I95" s="201">
        <v>0.27</v>
      </c>
      <c r="J95" s="76">
        <v>998</v>
      </c>
      <c r="K95" s="79" t="str">
        <f>HYPERLINK("http://amzn.to/2fbX5FU","link*")</f>
        <v>link*</v>
      </c>
      <c r="L95" s="79" t="str">
        <f>HYPERLINK("https://www.bhphotovideo.com/c/search?Ntt=sony%2024-240&amp;N=0&amp;InitialSearch=yes&amp;sts=ma&amp;Top+Nav-Search=&amp;BI=19619&amp;KBID=12129&amp;KWID=EZ","link*")</f>
        <v>link*</v>
      </c>
      <c r="M95" s="79" t="str">
        <f>HYPERLINK("http://amzn.to/2wyrL7A","link*")</f>
        <v>link*</v>
      </c>
      <c r="N95"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95" s="84">
        <v>50</v>
      </c>
      <c r="P95" s="134" t="s">
        <v>66</v>
      </c>
      <c r="Q95" s="74">
        <v>7</v>
      </c>
      <c r="R95" s="136" t="s">
        <v>133</v>
      </c>
      <c r="S95" s="74" t="s">
        <v>41</v>
      </c>
      <c r="T95" s="88">
        <v>42064</v>
      </c>
    </row>
    <row r="96" spans="1:21" ht="13" hidden="1">
      <c r="A96" s="58" t="s">
        <v>134</v>
      </c>
      <c r="B96" s="60">
        <v>663</v>
      </c>
      <c r="C96" s="67">
        <v>24</v>
      </c>
      <c r="D96" s="64">
        <v>4</v>
      </c>
      <c r="E96" s="194">
        <v>83</v>
      </c>
      <c r="F96" s="195">
        <v>113</v>
      </c>
      <c r="G96" s="70" t="s">
        <v>36</v>
      </c>
      <c r="H96" s="72" t="s">
        <v>80</v>
      </c>
      <c r="I96" s="201">
        <v>0.31</v>
      </c>
      <c r="J96" s="76">
        <v>1398</v>
      </c>
      <c r="K96" s="79" t="str">
        <f>HYPERLINK("https://amzn.to/2K7LwMR","link*")</f>
        <v>link*</v>
      </c>
      <c r="L96" s="79" t="str">
        <f>HYPERLINK("https://www.bhphotovideo.com/c/search?Ntt=sony%2024-105&amp;N=0&amp;InitialSearch=yes&amp;sts=ma&amp;Top+Nav-Search=&amp;BI=19619&amp;KBID=12129&amp;KWID=EZ","link*")</f>
        <v>link*</v>
      </c>
      <c r="M96" s="79" t="str">
        <f>HYPERLINK("https://amzn.to/2Ld8hOS","link*")</f>
        <v>link*</v>
      </c>
      <c r="N96"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96" s="84">
        <v>38</v>
      </c>
      <c r="P96" s="134" t="s">
        <v>66</v>
      </c>
      <c r="Q96" s="74">
        <v>9</v>
      </c>
      <c r="R96" s="136" t="s">
        <v>135</v>
      </c>
      <c r="S96" s="74" t="s">
        <v>41</v>
      </c>
      <c r="T96" s="88">
        <v>43009</v>
      </c>
    </row>
    <row r="97" spans="1:21" ht="13" hidden="1">
      <c r="A97" s="126" t="str">
        <f>HYPERLINK("https://phillipreeve.net/blog/rolling-review-carl-zeiss-vario-tessar-t-fe-424-70-za/","Sony ZA 4/24-70 OSS")</f>
        <v>Sony ZA 4/24-70 OSS</v>
      </c>
      <c r="B97" s="60">
        <v>426</v>
      </c>
      <c r="C97" s="67">
        <v>24</v>
      </c>
      <c r="D97" s="64">
        <v>4</v>
      </c>
      <c r="E97" s="194">
        <v>73</v>
      </c>
      <c r="F97" s="195">
        <v>95</v>
      </c>
      <c r="G97" s="70" t="s">
        <v>36</v>
      </c>
      <c r="H97" s="72" t="s">
        <v>73</v>
      </c>
      <c r="I97" s="74">
        <v>0.2</v>
      </c>
      <c r="J97" s="76">
        <v>898</v>
      </c>
      <c r="K97" s="79" t="str">
        <f>HYPERLINK("http://amzn.to/2vlG2Yq","link*")</f>
        <v>link*</v>
      </c>
      <c r="L97" s="79" t="str">
        <f>HYPERLINK("https://www.bhphotovideo.com/c/product/1008126-REG/sony_sel2470z_vario_tessar_t_fe_24_70mm.html/BI/19619/KBID/12129/DFF/d10-v21-t1-x466842/SID/EZ","link*")</f>
        <v>link*</v>
      </c>
      <c r="M97" s="79" t="str">
        <f>HYPERLINK("http://amzn.to/2fl1XZk","link*")</f>
        <v>link*</v>
      </c>
      <c r="N97" s="79"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97" s="84">
        <v>40</v>
      </c>
      <c r="P97" s="134" t="s">
        <v>66</v>
      </c>
      <c r="Q97" s="74">
        <v>7</v>
      </c>
      <c r="R97" s="136" t="s">
        <v>43</v>
      </c>
      <c r="S97" s="74" t="s">
        <v>41</v>
      </c>
      <c r="T97" s="88">
        <v>41640</v>
      </c>
    </row>
    <row r="98" spans="1:21" ht="13" hidden="1">
      <c r="A98" s="126" t="str">
        <f>HYPERLINK("https://phillipreeve.net/blog/review-zeiss-batis-distagon-t-25mm-f2/","Zeiss Batis 2/25")</f>
        <v>Zeiss Batis 2/25</v>
      </c>
      <c r="B98" s="60">
        <v>335</v>
      </c>
      <c r="C98" s="67">
        <v>25</v>
      </c>
      <c r="D98" s="64">
        <v>2</v>
      </c>
      <c r="E98" s="194">
        <v>92</v>
      </c>
      <c r="F98" s="195">
        <v>78</v>
      </c>
      <c r="G98" s="70" t="s">
        <v>36</v>
      </c>
      <c r="H98" s="72" t="s">
        <v>73</v>
      </c>
      <c r="I98" s="74">
        <v>0.19</v>
      </c>
      <c r="J98" s="76">
        <v>1299</v>
      </c>
      <c r="K98" s="79" t="str">
        <f>HYPERLINK("https://amzn.to/2ypHQiT","link*")</f>
        <v>link*</v>
      </c>
      <c r="L98" s="79" t="str">
        <f>HYPERLINK("https://www.bhphotovideo.com/c/product/1140832-REG/zeiss_2103_750_25mm_f_2_0_batis_wide.html/BI/19619/KBID/12129/DFF/d10-v21-t1-x627141/SID/EZ","link*")</f>
        <v>link*</v>
      </c>
      <c r="M98" s="79" t="str">
        <f>HYPERLINK("https://amzn.to/2L20DIj","link*")</f>
        <v>link*</v>
      </c>
      <c r="N98" s="7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98" s="84">
        <v>20</v>
      </c>
      <c r="P98" s="70" t="s">
        <v>27</v>
      </c>
      <c r="Q98" s="74">
        <v>9</v>
      </c>
      <c r="R98" s="136" t="s">
        <v>140</v>
      </c>
      <c r="S98" s="74" t="s">
        <v>87</v>
      </c>
      <c r="T98" s="88">
        <v>42125</v>
      </c>
    </row>
    <row r="99" spans="1:21" ht="13" hidden="1">
      <c r="A99" s="126" t="str">
        <f>HYPERLINK("https://phillipreeve.net/blog/review-zeiss-loxia-2-4-25mm-distagon/","Zeiss Loxia 2.4/25")</f>
        <v>Zeiss Loxia 2.4/25</v>
      </c>
      <c r="B99" s="60">
        <v>393</v>
      </c>
      <c r="C99" s="67">
        <v>25</v>
      </c>
      <c r="D99" s="64">
        <v>2.4</v>
      </c>
      <c r="E99" s="194">
        <v>62</v>
      </c>
      <c r="F99" s="195">
        <v>75</v>
      </c>
      <c r="G99" s="70" t="s">
        <v>25</v>
      </c>
      <c r="H99" s="72" t="s">
        <v>131</v>
      </c>
      <c r="I99" s="74">
        <v>0.16</v>
      </c>
      <c r="J99" s="76">
        <v>1299</v>
      </c>
      <c r="K99" s="79" t="str">
        <f>HYPERLINK("https://amzn.to/2OlyeAf","link*")</f>
        <v>link*</v>
      </c>
      <c r="L99" s="79" t="str">
        <f>HYPERLINK("https://www.bhphotovideo.com/c/product/1389169-REG/zeiss_000000_2218_783_loxia_25mm_f_2_4_lens.html/BI/19619/KBID/12129/kw/ZE2524L/DFF/d10-v2-t1-xZE2524L","link*")</f>
        <v>link*</v>
      </c>
      <c r="M99" s="79" t="str">
        <f>HYPERLINK("https://amzn.to/2OlyeAf","link*")</f>
        <v>link*</v>
      </c>
      <c r="N99" s="79" t="e">
        <f>HYPERLINK("http://rover.ebay.com/rover/1/711-53200-19255-0/1?icep_ff3=9&amp;pub=5575076376&amp;toolid=10001&amp;campid=5338573609&amp;customid=&amp;icep_uq=Zeissloxia+25mm&amp;icep_sellerId=&amp;icep_ex_kw=&amp;icep_sortBy=12&amp;icep_catId=3323&amp;icep_minPrice=&amp;icep_maxPrice=&amp;ipn=psmain&amp;icep_vectorid=2"&amp;"29466&amp;kwid=902099&amp;mtid=824&amp;kw=lg","link*")</f>
        <v>#VALUE!</v>
      </c>
      <c r="O99" s="84">
        <v>25</v>
      </c>
      <c r="P99" s="70" t="s">
        <v>27</v>
      </c>
      <c r="Q99" s="74">
        <v>10</v>
      </c>
      <c r="R99" s="136" t="s">
        <v>140</v>
      </c>
      <c r="S99" s="74" t="s">
        <v>87</v>
      </c>
      <c r="T99" s="88">
        <v>43160</v>
      </c>
    </row>
    <row r="100" spans="1:21" ht="13" hidden="1">
      <c r="A100" s="58" t="s">
        <v>141</v>
      </c>
      <c r="B100" s="60">
        <v>965</v>
      </c>
      <c r="C100" s="67">
        <v>28</v>
      </c>
      <c r="D100" s="64">
        <v>1.4</v>
      </c>
      <c r="E100" s="194">
        <v>83</v>
      </c>
      <c r="F100" s="195">
        <v>134</v>
      </c>
      <c r="G100" s="70" t="s">
        <v>36</v>
      </c>
      <c r="H100" s="72" t="s">
        <v>80</v>
      </c>
      <c r="I100" s="74">
        <v>0.19</v>
      </c>
      <c r="J100" s="76">
        <v>1399</v>
      </c>
      <c r="K100" s="79" t="str">
        <f>HYPERLINK("https://amzn.to/2Wn0pxO","link*")</f>
        <v>link*</v>
      </c>
      <c r="L100" s="79" t="str">
        <f>HYPERLINK("https://www.bhphotovideo.com/c/product/1436285-REG/sigma_28mm_f_1_4_dg_hsm.html/BI/19619/KBID/12129/kw/SI2814DGSE/DFF/d10-v2-t1-xSI2814DGSE","link*")</f>
        <v>link*</v>
      </c>
      <c r="M100" s="79" t="str">
        <f>HYPERLINK("https://amzn.to/2WzVkHd","link*")</f>
        <v>link*</v>
      </c>
      <c r="N100" s="79"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c r="O100" s="84">
        <v>28</v>
      </c>
      <c r="P100" s="70" t="s">
        <v>27</v>
      </c>
      <c r="Q100" s="74">
        <v>9</v>
      </c>
      <c r="R100" s="136" t="s">
        <v>133</v>
      </c>
      <c r="S100" s="74" t="s">
        <v>47</v>
      </c>
      <c r="T100" s="88">
        <v>43435</v>
      </c>
    </row>
    <row r="101" spans="1:21" ht="13" hidden="1">
      <c r="A101" s="126" t="str">
        <f>HYPERLINK("https://www.systemkamera-forum.de/blog/2015/05/sony-fe-28mm-f2-test-und-erfahrungsbericht/","Sony FE 2/28")</f>
        <v>Sony FE 2/28</v>
      </c>
      <c r="B101" s="60">
        <v>200</v>
      </c>
      <c r="C101" s="67">
        <v>28</v>
      </c>
      <c r="D101" s="64">
        <v>2</v>
      </c>
      <c r="E101" s="194">
        <v>60</v>
      </c>
      <c r="F101" s="195">
        <v>60</v>
      </c>
      <c r="G101" s="70" t="s">
        <v>36</v>
      </c>
      <c r="H101" s="72" t="s">
        <v>124</v>
      </c>
      <c r="I101" s="74">
        <v>0.13</v>
      </c>
      <c r="J101" s="156">
        <v>448</v>
      </c>
      <c r="K101" s="79" t="str">
        <f>HYPERLINK("https://amzn.to/2GXJWdo","link*")</f>
        <v>link*</v>
      </c>
      <c r="L101" s="79" t="str">
        <f>HYPERLINK("https://www.bhphotovideo.com/c/product/1402637-REG/sony_fe_28mm_f_2_lens.html/BI/19619/KBID/12129/kw/SO2820F/DFF/d10-v2-t1-xSO2820F","link*")</f>
        <v>link*</v>
      </c>
      <c r="M101" s="79" t="str">
        <f>HYPERLINK("http://amzn.to/2wyLOCO","link*")</f>
        <v>link*</v>
      </c>
      <c r="N101" s="79"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101" s="84">
        <v>29</v>
      </c>
      <c r="P101" s="70" t="s">
        <v>27</v>
      </c>
      <c r="Q101" s="74">
        <v>9</v>
      </c>
      <c r="R101" s="136" t="s">
        <v>91</v>
      </c>
      <c r="S101" s="74" t="s">
        <v>41</v>
      </c>
      <c r="T101" s="88">
        <v>42064</v>
      </c>
    </row>
    <row r="102" spans="1:21" ht="13" hidden="1">
      <c r="A102" s="126" t="str">
        <f>HYPERLINK("https://phillipreeve.net/blog/review-tamron-28-75mm-f-2-8-di-iii-rxd-sony-e-mount/","Tamron 2.8/28-75")</f>
        <v>Tamron 2.8/28-75</v>
      </c>
      <c r="B102" s="60">
        <v>550</v>
      </c>
      <c r="C102" s="67">
        <v>28</v>
      </c>
      <c r="D102" s="64">
        <v>2.8</v>
      </c>
      <c r="E102" s="194">
        <v>73</v>
      </c>
      <c r="F102" s="195">
        <v>118</v>
      </c>
      <c r="G102" s="70" t="s">
        <v>36</v>
      </c>
      <c r="H102" s="72" t="s">
        <v>73</v>
      </c>
      <c r="I102" s="201">
        <v>0.34</v>
      </c>
      <c r="J102" s="156">
        <v>879</v>
      </c>
      <c r="K102" s="79" t="str">
        <f>HYPERLINK("https://amzn.to/2ST5uxq","link*")</f>
        <v>link*</v>
      </c>
      <c r="L102" s="79" t="str">
        <f>HYPERLINK("https://www.bhphotovideo.com/c/product/1393332-REG/tamron_a036_28_75mm_f_2_8_di_iii.html/BI/19619/KBID/12129/DFF/d10-v21-t1-x892059/SID/EZ","link*")</f>
        <v>link*</v>
      </c>
      <c r="M102" s="79" t="str">
        <f>HYPERLINK("https://amzn.to/2ZmSzdU","link*")</f>
        <v>link*</v>
      </c>
      <c r="N102" s="79"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102" s="84">
        <v>19</v>
      </c>
      <c r="P102" s="70" t="s">
        <v>27</v>
      </c>
      <c r="Q102" s="74">
        <v>9</v>
      </c>
      <c r="R102" s="136" t="s">
        <v>122</v>
      </c>
      <c r="S102" s="74" t="s">
        <v>78</v>
      </c>
      <c r="T102" s="88">
        <v>43252</v>
      </c>
    </row>
    <row r="103" spans="1:21" ht="13" hidden="1">
      <c r="A103" s="58" t="s">
        <v>145</v>
      </c>
      <c r="B103" s="60">
        <v>295</v>
      </c>
      <c r="C103" s="67">
        <v>28</v>
      </c>
      <c r="D103" s="64" t="s">
        <v>146</v>
      </c>
      <c r="E103" s="194">
        <v>73</v>
      </c>
      <c r="F103" s="195">
        <v>83</v>
      </c>
      <c r="G103" s="70" t="s">
        <v>36</v>
      </c>
      <c r="H103" s="72" t="s">
        <v>147</v>
      </c>
      <c r="I103" s="74">
        <v>0.19</v>
      </c>
      <c r="J103" s="76">
        <v>398</v>
      </c>
      <c r="K103" s="79" t="str">
        <f>HYPERLINK("https://www.amazon.com/gp/product/B00FYOFADE/ref=as_li_tl?ie=UTF8&amp;tag=wwwphillipree-20&amp;camp=1789&amp;creative=9325&amp;linkCode=as2&amp;creativeASIN=B00FYOFADE&amp;linkId=96720b245156eae53bb1a672d4453d3f","link*")</f>
        <v>link*</v>
      </c>
      <c r="L103" s="79" t="str">
        <f>HYPERLINK("https://www.bhphotovideo.com/c/product/1015472-REG/sony_sel2870_fe_28_70mm_f_3_5_5_6_oss.html/BI/19619/KBID/12129/DFF/d10-v21-t1-x473993/SID/EZ","link*")</f>
        <v>link*</v>
      </c>
      <c r="M103" s="79" t="str">
        <f>HYPERLINK("https://www.amazon.de/gp/product/B00HSHFPD0/ref=as_li_tl?ie=UTF8&amp;tag=wwwphillipree-21&amp;camp=1638&amp;creative=6742&amp;linkCode=as2&amp;creativeASIN=B00HSHFPD0&amp;linkId=6701f30673f8a4071232ca85e1953506","link*")</f>
        <v>link*</v>
      </c>
      <c r="N103" s="79"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103" s="84">
        <v>30</v>
      </c>
      <c r="P103" s="134" t="s">
        <v>66</v>
      </c>
      <c r="Q103" s="74">
        <v>7</v>
      </c>
      <c r="R103" s="136" t="s">
        <v>91</v>
      </c>
      <c r="S103" s="74" t="s">
        <v>41</v>
      </c>
      <c r="T103" s="88">
        <v>41548</v>
      </c>
    </row>
    <row r="104" spans="1:21" ht="13" hidden="1">
      <c r="A104" s="58" t="s">
        <v>151</v>
      </c>
      <c r="B104" s="60">
        <v>1215</v>
      </c>
      <c r="C104" s="67">
        <v>28</v>
      </c>
      <c r="D104" s="64">
        <v>4</v>
      </c>
      <c r="E104" s="194">
        <v>105</v>
      </c>
      <c r="F104" s="195">
        <v>165</v>
      </c>
      <c r="G104" s="70" t="s">
        <v>36</v>
      </c>
      <c r="H104" s="234" t="s">
        <v>152</v>
      </c>
      <c r="I104" s="125"/>
      <c r="J104" s="76">
        <v>249</v>
      </c>
      <c r="K104" s="79" t="str">
        <f>HYPERLINK("http://amzn.to/2v2kiy9","link*")</f>
        <v>link*</v>
      </c>
      <c r="L104" s="79" t="str">
        <f>HYPERLINK("https://www.bhphotovideo.com/c/product/1082051-REG/sony_selp28135g_e_pz_28_135mm_f_4.html/BI/19619/KBID/12129/DFF/d10-v21-t1-x556056/SID/EZ","link*")</f>
        <v>link*</v>
      </c>
      <c r="M104" s="79" t="str">
        <f>HYPERLINK("http://amzn.to/2wlpg9b","link*")</f>
        <v>link*</v>
      </c>
      <c r="N104" s="79"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104" s="84">
        <v>40</v>
      </c>
      <c r="P104" s="134" t="s">
        <v>66</v>
      </c>
      <c r="Q104" s="74">
        <v>9</v>
      </c>
      <c r="R104" s="136" t="s">
        <v>153</v>
      </c>
      <c r="S104" s="74" t="s">
        <v>41</v>
      </c>
      <c r="T104" s="88">
        <v>41883</v>
      </c>
      <c r="U104" s="77" t="s">
        <v>154</v>
      </c>
    </row>
    <row r="105" spans="1:21" ht="13" hidden="1">
      <c r="A105" s="126" t="str">
        <f>HYPERLINK("https://phillipreeve.net/blog/review-sigma-35mm-1-2-art-dg-dn/","Sigma Art 1.2/35")</f>
        <v>Sigma Art 1.2/35</v>
      </c>
      <c r="B105" s="60">
        <v>1090</v>
      </c>
      <c r="C105" s="67">
        <v>35</v>
      </c>
      <c r="D105" s="235">
        <v>1.2</v>
      </c>
      <c r="E105" s="194">
        <v>88</v>
      </c>
      <c r="F105" s="195">
        <v>136</v>
      </c>
      <c r="G105" s="74" t="s">
        <v>36</v>
      </c>
      <c r="H105" s="236" t="s">
        <v>68</v>
      </c>
      <c r="I105" s="74">
        <v>0.19</v>
      </c>
      <c r="J105" s="76">
        <v>1499</v>
      </c>
      <c r="K105" s="79" t="str">
        <f>HYPERLINK("https://amzn.to/2LiHhxc","link*")</f>
        <v>link*</v>
      </c>
      <c r="L105" s="79" t="str">
        <f>HYPERLINK("https://www.bhphotovideo.com/c/product/1492967-REG/sigma_341969_35mm_f_1_2_dg_dn.html/BI/19619/KBID/12129/DFF/d10-v21-t1-x976038/SID/EZ","link*")</f>
        <v>link*</v>
      </c>
      <c r="M105" s="113"/>
      <c r="N105" s="79"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c r="O105" s="84">
        <v>30</v>
      </c>
      <c r="P105" s="70" t="s">
        <v>27</v>
      </c>
      <c r="Q105" s="74">
        <v>11</v>
      </c>
      <c r="R105" s="112">
        <v>43816</v>
      </c>
      <c r="S105" s="74" t="s">
        <v>47</v>
      </c>
      <c r="T105" s="88">
        <v>43647</v>
      </c>
    </row>
    <row r="106" spans="1:21" ht="13" hidden="1">
      <c r="A106" s="126" t="str">
        <f>HYPERLINK("https://phillipreeve.net/blog/review-sony-fe-35mm-1-4-za/","Sony ZA 1.4/35")</f>
        <v>Sony ZA 1.4/35</v>
      </c>
      <c r="B106" s="60">
        <v>630</v>
      </c>
      <c r="C106" s="67">
        <v>35</v>
      </c>
      <c r="D106" s="64">
        <v>1.4</v>
      </c>
      <c r="E106" s="194">
        <v>79</v>
      </c>
      <c r="F106" s="195">
        <v>112</v>
      </c>
      <c r="G106" s="74" t="s">
        <v>36</v>
      </c>
      <c r="H106" s="72" t="s">
        <v>64</v>
      </c>
      <c r="I106" s="74">
        <v>0.18</v>
      </c>
      <c r="J106" s="76">
        <v>1599</v>
      </c>
      <c r="K106" s="79" t="str">
        <f>HYPERLINK("https://amzn.to/2LRSMOS","link*")</f>
        <v>link*</v>
      </c>
      <c r="L106" s="79" t="str">
        <f>HYPERLINK("https://www.bhphotovideo.com/c/product/1126137-REG/sony_sel35f14z_distagon_t_fe_35mm.html/BI/19619/KBID/12129/DFF/d10-v21-t1-x612725/SID/EZ","link*")</f>
        <v>link*</v>
      </c>
      <c r="M106" s="79" t="str">
        <f>HYPERLINK("https://amzn.to/2ZmfSnX","link*")</f>
        <v>link*</v>
      </c>
      <c r="N106" s="79"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106" s="84">
        <v>30</v>
      </c>
      <c r="P106" s="70" t="s">
        <v>27</v>
      </c>
      <c r="Q106" s="74">
        <v>9</v>
      </c>
      <c r="R106" s="112">
        <v>43689</v>
      </c>
      <c r="S106" s="74" t="s">
        <v>41</v>
      </c>
      <c r="T106" s="88">
        <v>42064</v>
      </c>
    </row>
    <row r="107" spans="1:21" ht="13" hidden="1">
      <c r="A107" s="58" t="s">
        <v>155</v>
      </c>
      <c r="B107" s="60">
        <v>645</v>
      </c>
      <c r="C107" s="67">
        <v>35</v>
      </c>
      <c r="D107" s="64">
        <v>1.4</v>
      </c>
      <c r="E107" s="194">
        <v>76</v>
      </c>
      <c r="F107" s="176">
        <v>115</v>
      </c>
      <c r="G107" s="74" t="s">
        <v>36</v>
      </c>
      <c r="H107" s="72" t="s">
        <v>73</v>
      </c>
      <c r="I107" s="74">
        <v>0.17</v>
      </c>
      <c r="J107" s="76">
        <v>799</v>
      </c>
      <c r="K107" s="79" t="str">
        <f>HYPERLINK("https://amzn.to/2K8DDXH","link*")</f>
        <v>link*</v>
      </c>
      <c r="L107" s="79" t="str">
        <f>HYPERLINK("https://www.bhphotovideo.com/c/product/1381712-REG/voigtlander_nokton_classic_35mm_f_1_4.html/BI/19619/KBID/12129/DFF/d10-v21-t1-x877353/SID/EZ","link*")</f>
        <v>link*</v>
      </c>
      <c r="M107" s="79" t="str">
        <f>HYPERLINK("https://amzn.to/2Zhl3FI","link*")</f>
        <v>link*</v>
      </c>
      <c r="N107" s="79"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107" s="84">
        <v>30</v>
      </c>
      <c r="P107" s="70" t="s">
        <v>27</v>
      </c>
      <c r="Q107" s="74">
        <v>9</v>
      </c>
      <c r="R107" s="112">
        <v>43719</v>
      </c>
      <c r="S107" s="74" t="s">
        <v>38</v>
      </c>
      <c r="T107" s="88">
        <v>43009</v>
      </c>
      <c r="U107" s="77" t="s">
        <v>156</v>
      </c>
    </row>
    <row r="108" spans="1:21" ht="13">
      <c r="A108" s="126" t="str">
        <f>HYPERLINK("https://phillipreeve.net/blog/voigtlander-65-f2-apo-macro-review/","Voigtlander Macro 65mm F2 Apo Lanthar")</f>
        <v>Voigtlander Macro 65mm F2 Apo Lanthar</v>
      </c>
      <c r="B108" s="60">
        <v>635</v>
      </c>
      <c r="C108" s="67">
        <v>65</v>
      </c>
      <c r="D108" s="64">
        <v>2</v>
      </c>
      <c r="E108" s="194">
        <v>78</v>
      </c>
      <c r="F108" s="195">
        <v>91</v>
      </c>
      <c r="G108" s="74" t="s">
        <v>25</v>
      </c>
      <c r="H108" s="72" t="s">
        <v>73</v>
      </c>
      <c r="I108" s="320">
        <v>0.5</v>
      </c>
      <c r="J108" s="76">
        <v>999</v>
      </c>
      <c r="K108" s="79" t="str">
        <f>HYPERLINK("https://amzn.to/2LU48SI","link*")</f>
        <v>link*</v>
      </c>
      <c r="L108" s="79" t="str">
        <f>HYPERLINK("https://www.bhphotovideo.com/c/product/1350400-REG/voigtlander_macro_apo_lanthar_65mm_f2.html/BI/19619/KBID/12129/DFF/d10-v21-t1-x835677/SID/EZ","link*")</f>
        <v>link*</v>
      </c>
      <c r="M108" s="113" t="s">
        <v>51</v>
      </c>
      <c r="N108" s="79"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O108" s="84">
        <v>31</v>
      </c>
      <c r="P108" s="70" t="s">
        <v>27</v>
      </c>
      <c r="Q108" s="74">
        <v>10</v>
      </c>
      <c r="R108" s="112">
        <v>43687</v>
      </c>
      <c r="S108" s="74" t="s">
        <v>29</v>
      </c>
      <c r="T108" s="88">
        <v>42917</v>
      </c>
    </row>
    <row r="109" spans="1:21" ht="13" hidden="1">
      <c r="A109" s="126" t="str">
        <f>HYPERLINK("https://phillipreeve.net/blog/review-sigma-35mm-1-4-art/","Sigma Art 1.4/35")</f>
        <v>Sigma Art 1.4/35</v>
      </c>
      <c r="B109" s="60">
        <v>740</v>
      </c>
      <c r="C109" s="67">
        <v>35</v>
      </c>
      <c r="D109" s="64">
        <v>1.4</v>
      </c>
      <c r="E109" s="194">
        <v>77</v>
      </c>
      <c r="F109" s="176">
        <v>94</v>
      </c>
      <c r="G109" s="74" t="s">
        <v>36</v>
      </c>
      <c r="H109" s="72" t="s">
        <v>73</v>
      </c>
      <c r="I109" s="74">
        <v>0.19</v>
      </c>
      <c r="J109" s="156">
        <v>899</v>
      </c>
      <c r="K109" s="79" t="str">
        <f>HYPERLINK("https://amzn.to/2LOaQcZ","link*")</f>
        <v>link*</v>
      </c>
      <c r="L109" s="79" t="str">
        <f>HYPERLINK("https://www.bhphotovideo.com/c/product/1393492-REG/sigma_35mm_f_1_4_dg_hsm.html/BI/19619/KBID/12129/DFF/d10-v21-t1-x881157/SID/EZ","link*")</f>
        <v>link*</v>
      </c>
      <c r="M109" s="79" t="str">
        <f>HYPERLINK("https://amzn.to/2ZrfakE","link*")</f>
        <v>link*</v>
      </c>
      <c r="N109" s="79"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O109" s="84">
        <v>30</v>
      </c>
      <c r="P109" s="70" t="s">
        <v>27</v>
      </c>
      <c r="Q109" s="74">
        <v>9</v>
      </c>
      <c r="R109" s="112">
        <v>43782</v>
      </c>
      <c r="S109" s="74" t="s">
        <v>47</v>
      </c>
      <c r="T109" s="88">
        <v>43221</v>
      </c>
      <c r="U109" s="77" t="s">
        <v>48</v>
      </c>
    </row>
    <row r="110" spans="1:21" ht="13" hidden="1">
      <c r="A110" s="58" t="s">
        <v>157</v>
      </c>
      <c r="B110" s="60">
        <v>280</v>
      </c>
      <c r="C110" s="67">
        <v>35</v>
      </c>
      <c r="D110" s="64">
        <v>1.8</v>
      </c>
      <c r="E110" s="194">
        <v>66</v>
      </c>
      <c r="F110" s="176">
        <v>73</v>
      </c>
      <c r="G110" s="74" t="s">
        <v>36</v>
      </c>
      <c r="H110" s="72" t="s">
        <v>147</v>
      </c>
      <c r="I110" s="239">
        <v>0.24</v>
      </c>
      <c r="J110" s="76">
        <v>749</v>
      </c>
      <c r="K110" s="113"/>
      <c r="L110" s="79" t="str">
        <f>HYPERLINK("https://www.bhphotovideo.com/c/product/1492866-REG/sony_sel35f18f_35mm_f_1_8_fe_lens.html/BI/19619/KBID/12129/DFF/d10-v21-t1-x975763/SID/EZ","link*")</f>
        <v>link*</v>
      </c>
      <c r="M110" s="79" t="str">
        <f>HYPERLINK("https://amzn.to/2PiATLC","link*")</f>
        <v>link*</v>
      </c>
      <c r="N110" s="79"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110" s="84">
        <v>22</v>
      </c>
      <c r="P110" s="70" t="s">
        <v>27</v>
      </c>
      <c r="Q110" s="74">
        <v>9</v>
      </c>
      <c r="R110" s="112">
        <v>43719</v>
      </c>
      <c r="S110" s="74" t="s">
        <v>41</v>
      </c>
      <c r="T110" s="88">
        <v>43647</v>
      </c>
    </row>
    <row r="111" spans="1:21" ht="13" hidden="1">
      <c r="A111" s="126" t="str">
        <f>HYPERLINK("https://phillipreeve.net/blog/review-zeiss-loxia-35mm-2-0/","Zeiss Loxia 2/35 Biogon T*")</f>
        <v>Zeiss Loxia 2/35 Biogon T*</v>
      </c>
      <c r="B111" s="60">
        <v>340</v>
      </c>
      <c r="C111" s="67">
        <v>35</v>
      </c>
      <c r="D111" s="64">
        <v>2</v>
      </c>
      <c r="E111" s="194">
        <v>62</v>
      </c>
      <c r="F111" s="195">
        <v>66</v>
      </c>
      <c r="G111" s="74" t="s">
        <v>25</v>
      </c>
      <c r="H111" s="72" t="s">
        <v>131</v>
      </c>
      <c r="I111" s="74">
        <v>0.17</v>
      </c>
      <c r="J111" s="76">
        <v>1299</v>
      </c>
      <c r="K111" s="79" t="str">
        <f>HYPERLINK("https://amzn.to/2T2sJWe","link*")</f>
        <v>link*</v>
      </c>
      <c r="L111" s="79" t="str">
        <f>HYPERLINK("https://www.bhphotovideo.com/c/product/1080388-REG/zeiss_2103_749_loxia_35mm_f_2_biogon.html/BI/19619/KBID/12129/DFF/d10-v21-t1-x553792/SID/EZ","link*")</f>
        <v>link*</v>
      </c>
      <c r="M111" s="113" t="s">
        <v>51</v>
      </c>
      <c r="N111" s="79"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O111" s="84">
        <v>30</v>
      </c>
      <c r="P111" s="70" t="s">
        <v>27</v>
      </c>
      <c r="Q111" s="74">
        <v>10</v>
      </c>
      <c r="R111" s="112">
        <v>43625</v>
      </c>
      <c r="S111" s="74" t="s">
        <v>87</v>
      </c>
      <c r="T111" s="88">
        <v>41974</v>
      </c>
      <c r="U111" s="77" t="s">
        <v>166</v>
      </c>
    </row>
    <row r="112" spans="1:21" ht="13" hidden="1">
      <c r="A112" s="126" t="str">
        <f>HYPERLINK("http://www.photozone.de/sonyalphaff/865-zeiss35f28ff","Sony ZA 2.8/35")</f>
        <v>Sony ZA 2.8/35</v>
      </c>
      <c r="B112" s="60">
        <v>120</v>
      </c>
      <c r="C112" s="67">
        <v>35</v>
      </c>
      <c r="D112" s="64">
        <v>2.8</v>
      </c>
      <c r="E112" s="194">
        <v>62</v>
      </c>
      <c r="F112" s="195">
        <v>37</v>
      </c>
      <c r="G112" s="74" t="s">
        <v>36</v>
      </c>
      <c r="H112" s="72" t="s">
        <v>124</v>
      </c>
      <c r="I112" s="74">
        <v>0.12</v>
      </c>
      <c r="J112" s="76">
        <v>798</v>
      </c>
      <c r="K112" s="79" t="str">
        <f>HYPERLINK("https://amzn.to/2yvhL24","link*")</f>
        <v>link*</v>
      </c>
      <c r="L112" s="79" t="str">
        <f>HYPERLINK("https://www.bhphotovideo.com/c/product/1008123-REG/sony_sel35f28z_sonnar_t_fe_35mm.html/BI/19619/KBID/12129/DFF/d10-v21-t1-x466840/SID/EZ","link*")</f>
        <v>link*</v>
      </c>
      <c r="M112" s="113" t="s">
        <v>51</v>
      </c>
      <c r="N112" s="79"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112" s="84">
        <v>35</v>
      </c>
      <c r="P112" s="70" t="s">
        <v>27</v>
      </c>
      <c r="Q112" s="74">
        <v>9</v>
      </c>
      <c r="R112" s="112">
        <v>43592</v>
      </c>
      <c r="S112" s="74" t="s">
        <v>41</v>
      </c>
      <c r="T112" s="88">
        <v>41487</v>
      </c>
    </row>
    <row r="113" spans="1:21" ht="13" hidden="1">
      <c r="A113" s="58" t="s">
        <v>158</v>
      </c>
      <c r="B113" s="60">
        <v>86</v>
      </c>
      <c r="C113" s="67">
        <v>35</v>
      </c>
      <c r="D113" s="64">
        <v>2.8</v>
      </c>
      <c r="E113" s="194">
        <v>62</v>
      </c>
      <c r="F113" s="195">
        <v>33</v>
      </c>
      <c r="G113" s="74" t="s">
        <v>36</v>
      </c>
      <c r="H113" s="72" t="s">
        <v>124</v>
      </c>
      <c r="I113" s="74">
        <v>0.12</v>
      </c>
      <c r="J113" s="241">
        <v>399</v>
      </c>
      <c r="K113" s="79" t="str">
        <f t="shared" ref="K113:K114" si="0">HYPERLINK("https://amzn.to/2MGKrxp","link*")</f>
        <v>link*</v>
      </c>
      <c r="L113" s="79" t="str">
        <f>HYPERLINK("https://www.bhphotovideo.com/c/product/1348365-REG/samyang_syio35af_e_35mm_f2_8_compact_wide.html/BI/19619/KBID/12129/DFF/d10-v21-t1-x832776/SID/EZ","link*")</f>
        <v>link*</v>
      </c>
      <c r="M113" s="113" t="s">
        <v>51</v>
      </c>
      <c r="N113" s="79"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113" s="84">
        <v>35</v>
      </c>
      <c r="P113" s="70" t="s">
        <v>27</v>
      </c>
      <c r="Q113" s="74">
        <v>9</v>
      </c>
      <c r="R113" s="112">
        <v>43623</v>
      </c>
      <c r="S113" s="74" t="s">
        <v>38</v>
      </c>
      <c r="T113" s="88">
        <v>42917</v>
      </c>
    </row>
    <row r="114" spans="1:21" ht="13">
      <c r="A114" s="126" t="str">
        <f>HYPERLINK("https://phillipreeve.net/blog/voigtlander-40mm-f1-2-nokton-aspherical-rolling-review/","Voigtlander 40mm F1.2 Nokton")</f>
        <v>Voigtlander 40mm F1.2 Nokton</v>
      </c>
      <c r="B114" s="60">
        <v>420</v>
      </c>
      <c r="C114" s="67">
        <v>40</v>
      </c>
      <c r="D114" s="304">
        <v>1.2</v>
      </c>
      <c r="E114" s="194">
        <v>70</v>
      </c>
      <c r="F114" s="195">
        <v>59</v>
      </c>
      <c r="G114" s="74" t="s">
        <v>25</v>
      </c>
      <c r="H114" s="72" t="s">
        <v>71</v>
      </c>
      <c r="I114" s="74">
        <v>0.16</v>
      </c>
      <c r="J114" s="76">
        <v>1099</v>
      </c>
      <c r="K114" s="79" t="str">
        <f t="shared" si="0"/>
        <v>link*</v>
      </c>
      <c r="L114" s="79" t="str">
        <f>HYPERLINK("https://www.bhphotovideo.com/c/product/1362557-REG/voigtlander_nokton_40mm_f_1_2_aspherical.html/BI/19619/KBID/12129/DFF/d10-v21-t1-x851241/SID/EZ","link*")</f>
        <v>link*</v>
      </c>
      <c r="M114" s="113" t="s">
        <v>51</v>
      </c>
      <c r="N114" s="79"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c r="O114" s="84">
        <v>35</v>
      </c>
      <c r="P114" s="70" t="s">
        <v>27</v>
      </c>
      <c r="Q114" s="74">
        <v>10</v>
      </c>
      <c r="R114" s="112">
        <v>43624</v>
      </c>
      <c r="S114" s="74" t="s">
        <v>29</v>
      </c>
      <c r="T114" s="88">
        <v>43040</v>
      </c>
    </row>
    <row r="115" spans="1:21" ht="13" hidden="1">
      <c r="A115" s="126" t="str">
        <f>HYPERLINK("https://phillipreeve.net/blog/review-sigma-40mm-1-4-art/","Sigma Art 1.4/40")</f>
        <v>Sigma Art 1.4/40</v>
      </c>
      <c r="B115" s="60">
        <v>1200</v>
      </c>
      <c r="C115" s="67">
        <v>40</v>
      </c>
      <c r="D115" s="64">
        <v>1.4</v>
      </c>
      <c r="E115" s="194">
        <v>88</v>
      </c>
      <c r="F115" s="176">
        <v>157</v>
      </c>
      <c r="G115" s="74" t="s">
        <v>36</v>
      </c>
      <c r="H115" s="244" t="s">
        <v>68</v>
      </c>
      <c r="I115" s="74">
        <v>0.15</v>
      </c>
      <c r="J115" s="76">
        <v>1399</v>
      </c>
      <c r="K115" s="79" t="str">
        <f>HYPERLINK("https://amzn.to/2SYXFXq","link*")</f>
        <v>link*</v>
      </c>
      <c r="L115" s="79" t="str">
        <f>HYPERLINK("https://www.bhphotovideo.com/c/product/1436292-REG/sigma_40mm_f_1_4_dg_hsm.html/BI/19619/KBID/12129/DFF/d10-v21-t1-x925196/SID/EZ","link*")</f>
        <v>link*</v>
      </c>
      <c r="M115" s="113" t="s">
        <v>51</v>
      </c>
      <c r="N115" s="79"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O115" s="84">
        <v>40</v>
      </c>
      <c r="P115" s="70" t="s">
        <v>27</v>
      </c>
      <c r="Q115" s="74">
        <v>9</v>
      </c>
      <c r="R115" s="112">
        <v>43815</v>
      </c>
      <c r="S115" s="74" t="s">
        <v>47</v>
      </c>
      <c r="T115" s="88">
        <v>43435</v>
      </c>
      <c r="U115" s="77" t="s">
        <v>48</v>
      </c>
    </row>
    <row r="116" spans="1:21" ht="13" hidden="1">
      <c r="A116" s="126" t="str">
        <f>HYPERLINK("https://phillipreeve.net/blog/review-zeiss-batis-2-40-cf/","Zeiss Batis 2/40 CF T*")</f>
        <v>Zeiss Batis 2/40 CF T*</v>
      </c>
      <c r="B116" s="60">
        <v>361</v>
      </c>
      <c r="C116" s="67">
        <v>40</v>
      </c>
      <c r="D116" s="64">
        <v>2</v>
      </c>
      <c r="E116" s="194">
        <v>91</v>
      </c>
      <c r="F116" s="176">
        <v>93</v>
      </c>
      <c r="G116" s="74" t="s">
        <v>36</v>
      </c>
      <c r="H116" s="72" t="s">
        <v>73</v>
      </c>
      <c r="I116" s="239">
        <v>0.3</v>
      </c>
      <c r="J116" s="76">
        <v>1299</v>
      </c>
      <c r="K116" s="79" t="str">
        <f>HYPERLINK("https://amzn.to/2LUN0MF","link*")</f>
        <v>link*</v>
      </c>
      <c r="L116" s="79" t="str">
        <f>HYPERLINK("https://www.bhphotovideo.com/c/product/1436738-REG/zeiss_000000_2239_137_batis_40mm_f_2_cf.html/BI/19619/KBID/12129/DFF/d10-v21-t1-x915694/SID/EZ","link*")</f>
        <v>link*</v>
      </c>
      <c r="M116" s="113" t="s">
        <v>51</v>
      </c>
      <c r="N116" s="79"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116" s="84">
        <v>24</v>
      </c>
      <c r="P116" s="70" t="s">
        <v>27</v>
      </c>
      <c r="Q116" s="74">
        <v>9</v>
      </c>
      <c r="R116" s="112">
        <v>43686</v>
      </c>
      <c r="S116" s="74" t="s">
        <v>87</v>
      </c>
      <c r="T116" s="88">
        <v>43435</v>
      </c>
      <c r="U116" s="77" t="s">
        <v>159</v>
      </c>
    </row>
    <row r="117" spans="1:21" ht="13" hidden="1">
      <c r="A117" s="58" t="s">
        <v>160</v>
      </c>
      <c r="B117" s="60">
        <v>162</v>
      </c>
      <c r="C117" s="67">
        <v>45</v>
      </c>
      <c r="D117" s="64">
        <v>1.8</v>
      </c>
      <c r="E117" s="194">
        <v>62</v>
      </c>
      <c r="F117" s="176">
        <v>56</v>
      </c>
      <c r="G117" s="74" t="s">
        <v>36</v>
      </c>
      <c r="H117" s="72" t="s">
        <v>124</v>
      </c>
      <c r="I117" s="74">
        <v>0.12</v>
      </c>
      <c r="J117" s="184">
        <v>399</v>
      </c>
      <c r="K117" s="79" t="str">
        <f>HYPERLINK("https://amzn.to/2YC6MST","link*")</f>
        <v>link*</v>
      </c>
      <c r="L117" s="79" t="str">
        <f>HYPERLINK("https://www.bhphotovideo.com/c/product/1478738-REG/samyang_af_45mm_f_1_8_fe.html/BI/19619/KBID/12129/DFF/d10-v21-t1-x964329/SID/EZ","link*")</f>
        <v>link*</v>
      </c>
      <c r="M117" s="113" t="s">
        <v>51</v>
      </c>
      <c r="N117" s="79"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117" s="84">
        <v>45</v>
      </c>
      <c r="P117" s="70" t="s">
        <v>27</v>
      </c>
      <c r="Q117" s="74">
        <v>9</v>
      </c>
      <c r="R117" s="112">
        <v>43623</v>
      </c>
      <c r="S117" s="74" t="s">
        <v>38</v>
      </c>
      <c r="T117" s="88">
        <v>43647</v>
      </c>
    </row>
    <row r="118" spans="1:21" ht="13" hidden="1">
      <c r="A118" s="58" t="s">
        <v>161</v>
      </c>
      <c r="B118" s="60">
        <v>215</v>
      </c>
      <c r="C118" s="67">
        <v>45</v>
      </c>
      <c r="D118" s="64">
        <v>2.8</v>
      </c>
      <c r="E118" s="194">
        <v>64</v>
      </c>
      <c r="F118" s="195">
        <v>46</v>
      </c>
      <c r="G118" s="74" t="s">
        <v>36</v>
      </c>
      <c r="H118" s="72" t="s">
        <v>147</v>
      </c>
      <c r="I118" s="201">
        <v>0.25</v>
      </c>
      <c r="J118" s="76">
        <v>549</v>
      </c>
      <c r="K118" s="79" t="str">
        <f>HYPERLINK("https://amzn.to/2SYEvAX","link*")</f>
        <v>link*</v>
      </c>
      <c r="L118" s="79" t="str">
        <f>HYPERLINK("https://www.bhphotovideo.com/c/product/1492966-REG/sigma_360965_45mm_f_2_8_dg_dn.html/BI/19619/KBID/12129/DFF/d10-v21-t1-x976020/SID/EZ","link*")</f>
        <v>link*</v>
      </c>
      <c r="M118" s="113" t="s">
        <v>51</v>
      </c>
      <c r="N118" s="79"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O118" s="84">
        <v>24</v>
      </c>
      <c r="P118" s="70" t="s">
        <v>27</v>
      </c>
      <c r="Q118" s="74">
        <v>7</v>
      </c>
      <c r="R118" s="112">
        <v>43654</v>
      </c>
      <c r="S118" s="74" t="s">
        <v>47</v>
      </c>
      <c r="T118" s="88">
        <v>43647</v>
      </c>
      <c r="U118" s="77" t="s">
        <v>162</v>
      </c>
    </row>
    <row r="119" spans="1:21" ht="13">
      <c r="A119" s="126" t="str">
        <f>HYPERLINK("https://phillipreeve.net/blog/review-voigtlander-35mm-1-4-nokton-e-classic/","Voigtlander 35mm F1.4 Nokton Classic")</f>
        <v>Voigtlander 35mm F1.4 Nokton Classic</v>
      </c>
      <c r="B119" s="60">
        <v>262</v>
      </c>
      <c r="C119" s="67">
        <v>35</v>
      </c>
      <c r="D119" s="64">
        <v>1.4</v>
      </c>
      <c r="E119" s="194">
        <v>67</v>
      </c>
      <c r="F119" s="176">
        <v>40</v>
      </c>
      <c r="G119" s="74" t="s">
        <v>25</v>
      </c>
      <c r="H119" s="72" t="s">
        <v>71</v>
      </c>
      <c r="I119" s="74">
        <v>0.16</v>
      </c>
      <c r="J119" s="76">
        <v>799</v>
      </c>
      <c r="K119" s="79" t="str">
        <f>HYPERLINK("https://amzn.to/2M1M8WH","link*")</f>
        <v>link*</v>
      </c>
      <c r="L119" s="79" t="str">
        <f>HYPERLINK("https://www.bhphotovideo.com/c/product/1381712-REG/voigtlander_nokton_classic_35mm_f_1_4.html/BI/19619/KBID/12129/DFF/d10-v21-t1-x877353/SID/EZ","link*")</f>
        <v>link*</v>
      </c>
      <c r="M119" s="79" t="str">
        <f>HYPERLINK("https://amzn.to/2ZswTZ3","link*")</f>
        <v>link*</v>
      </c>
      <c r="N119" s="79"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c r="O119" s="84">
        <v>30</v>
      </c>
      <c r="P119" s="70" t="s">
        <v>27</v>
      </c>
      <c r="Q119" s="74">
        <v>10</v>
      </c>
      <c r="R119" s="112">
        <v>43624</v>
      </c>
      <c r="S119" s="74" t="s">
        <v>29</v>
      </c>
      <c r="T119" s="88">
        <v>43132</v>
      </c>
    </row>
    <row r="120" spans="1:21" ht="13" hidden="1">
      <c r="A120" s="58" t="s">
        <v>163</v>
      </c>
      <c r="B120" s="60">
        <v>778</v>
      </c>
      <c r="C120" s="67">
        <v>50</v>
      </c>
      <c r="D120" s="64">
        <v>1.4</v>
      </c>
      <c r="E120" s="194">
        <v>84</v>
      </c>
      <c r="F120" s="195">
        <v>108</v>
      </c>
      <c r="G120" s="74" t="s">
        <v>36</v>
      </c>
      <c r="H120" s="72" t="s">
        <v>64</v>
      </c>
      <c r="I120" s="74">
        <v>0.15</v>
      </c>
      <c r="J120" s="76">
        <v>1499</v>
      </c>
      <c r="K120" s="79" t="str">
        <f>HYPERLINK("https://amzn.to/2K88EL7","link*")</f>
        <v>link*</v>
      </c>
      <c r="L120" s="113" t="s">
        <v>51</v>
      </c>
      <c r="M120" s="113" t="s">
        <v>51</v>
      </c>
      <c r="N120" s="79"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120" s="84">
        <v>45</v>
      </c>
      <c r="P120" s="70" t="s">
        <v>27</v>
      </c>
      <c r="Q120" s="74">
        <v>11</v>
      </c>
      <c r="R120" s="112">
        <v>43720</v>
      </c>
      <c r="S120" s="74" t="s">
        <v>41</v>
      </c>
      <c r="T120" s="88">
        <v>42583</v>
      </c>
    </row>
    <row r="121" spans="1:21" ht="13" hidden="1">
      <c r="A121" s="58" t="s">
        <v>164</v>
      </c>
      <c r="B121" s="60">
        <v>815</v>
      </c>
      <c r="C121" s="67">
        <v>50</v>
      </c>
      <c r="D121" s="64">
        <v>1.4</v>
      </c>
      <c r="E121" s="194">
        <v>85</v>
      </c>
      <c r="F121" s="195">
        <v>100</v>
      </c>
      <c r="G121" s="74" t="s">
        <v>36</v>
      </c>
      <c r="H121" s="72" t="s">
        <v>80</v>
      </c>
      <c r="I121" s="74">
        <v>0.18</v>
      </c>
      <c r="J121" s="76">
        <v>949</v>
      </c>
      <c r="K121" s="79" t="str">
        <f>HYPERLINK("https://amzn.to/2K4JmyT","link*")</f>
        <v>link*</v>
      </c>
      <c r="L121" s="79" t="str">
        <f>HYPERLINK("https://www.bhphotovideo.com/c/product/1393493-REG/sigma_50mm_f_1_4_dg_hsm.html/BI/19619/KBID/12129/kw/SI5014SO/DFF/d10-v2-t1-xSI5014SO","link*")</f>
        <v>link*</v>
      </c>
      <c r="M121" s="79" t="str">
        <f>HYPERLINK("https://amzn.to/2Wpdoz5","link*")</f>
        <v>link*</v>
      </c>
      <c r="N121" s="79" t="e">
        <f>HYPERLINK("http://rover.ebay.com/rover/1/711-53200-19255-0/1?icep_ff3=9&amp;pub=5575076376&amp;toolid=10001&amp;campid=5338164340&amp;customid=&amp;icep_uq=sony+50+1.4+za+-ssm&amp;icep_sellerId=&amp;icep_ex_kw=&amp;icep_sortBy=12&amp;icep_catId=3323&amp;icep_minPrice=&amp;icep_maxPrice=&amp;ipn=psmain&amp;icep_vector"&amp;"id=229466&amp;kwid=902099&amp;mtid=824&amp;kw=lg","link*")</f>
        <v>#VALUE!</v>
      </c>
      <c r="O121" s="84">
        <v>40</v>
      </c>
      <c r="P121" s="70" t="s">
        <v>27</v>
      </c>
      <c r="Q121" s="74">
        <v>9</v>
      </c>
      <c r="R121" s="112">
        <v>43690</v>
      </c>
      <c r="S121" s="74" t="s">
        <v>47</v>
      </c>
      <c r="T121" s="88">
        <v>43221</v>
      </c>
      <c r="U121" s="77" t="s">
        <v>48</v>
      </c>
    </row>
    <row r="122" spans="1:21" ht="13" hidden="1">
      <c r="A122" s="58" t="s">
        <v>165</v>
      </c>
      <c r="B122" s="60">
        <v>585</v>
      </c>
      <c r="C122" s="67">
        <v>50</v>
      </c>
      <c r="D122" s="64">
        <v>1.4</v>
      </c>
      <c r="E122" s="194">
        <v>74</v>
      </c>
      <c r="F122" s="195">
        <v>98</v>
      </c>
      <c r="G122" s="74" t="s">
        <v>36</v>
      </c>
      <c r="H122" s="72" t="s">
        <v>73</v>
      </c>
      <c r="I122" s="74">
        <v>0.15</v>
      </c>
      <c r="J122" s="76">
        <v>699</v>
      </c>
      <c r="K122" s="79" t="str">
        <f>HYPERLINK("https://amzn.to/2SY1Pyr","link*")</f>
        <v>link*</v>
      </c>
      <c r="L122" s="79" t="str">
        <f>HYPERLINK("https://www.bhphotovideo.com/c/product/1352862-REG/samyang_syio50af_e_50mm_f_1_4_auto_focus.html/BI/19619/KBID/12129/DFF/d10-v21-t1-x837927/SID/EZ","link*")</f>
        <v>link*</v>
      </c>
      <c r="M122" s="113" t="s">
        <v>51</v>
      </c>
      <c r="N122" s="79"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122" s="84">
        <v>45</v>
      </c>
      <c r="P122" s="70" t="s">
        <v>27</v>
      </c>
      <c r="Q122" s="74">
        <v>9</v>
      </c>
      <c r="R122" s="112">
        <v>43686</v>
      </c>
      <c r="S122" s="74" t="s">
        <v>38</v>
      </c>
      <c r="T122" s="88">
        <v>42583</v>
      </c>
    </row>
    <row r="123" spans="1:21" ht="13" hidden="1">
      <c r="A123" s="126" t="str">
        <f>HYPERLINK("https://phillipreeve.net/blog/review-sony-fe-1-850/","Sony 50mm F1.8")</f>
        <v>Sony 50mm F1.8</v>
      </c>
      <c r="B123" s="60">
        <v>186</v>
      </c>
      <c r="C123" s="67">
        <v>50</v>
      </c>
      <c r="D123" s="64">
        <v>1.8</v>
      </c>
      <c r="E123" s="194">
        <v>69</v>
      </c>
      <c r="F123" s="195">
        <v>60</v>
      </c>
      <c r="G123" s="74" t="s">
        <v>36</v>
      </c>
      <c r="H123" s="72" t="s">
        <v>124</v>
      </c>
      <c r="I123" s="74">
        <v>0.14000000000000001</v>
      </c>
      <c r="J123" s="156">
        <v>249</v>
      </c>
      <c r="K123" s="79" t="str">
        <f>HYPERLINK("http://amzn.to/2v2F5Se","link*")</f>
        <v>link*</v>
      </c>
      <c r="L123" s="79" t="str">
        <f>HYPERLINK("https://www.bhphotovideo.com/c/product/1242613-REG/sony_sel50f18f_fe_50mm_f_1_8_lens.html/BI/19619/KBID/12129/kw/SO5018F/DFF/d10-v2-t1-xSO5018F","link*")</f>
        <v>link*</v>
      </c>
      <c r="M123" s="79" t="str">
        <f>HYPERLINK("http://amzn.to/2wyHB25","link*")</f>
        <v>link*</v>
      </c>
      <c r="N123"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123" s="84">
        <v>45</v>
      </c>
      <c r="P123" s="70" t="s">
        <v>27</v>
      </c>
      <c r="Q123" s="74">
        <v>7</v>
      </c>
      <c r="R123" s="112">
        <v>43591</v>
      </c>
      <c r="S123" s="74" t="s">
        <v>41</v>
      </c>
      <c r="T123" s="88">
        <v>42430</v>
      </c>
    </row>
    <row r="124" spans="1:21" ht="13" hidden="1">
      <c r="A124" s="126" t="str">
        <f>HYPERLINK("https://phillipreeve.net/blog/review-zeiss-loxia-planar-250-t/","Zeiss Loxia 50mm F2")</f>
        <v>Zeiss Loxia 50mm F2</v>
      </c>
      <c r="B124" s="60">
        <v>320</v>
      </c>
      <c r="C124" s="67">
        <v>50</v>
      </c>
      <c r="D124" s="64">
        <v>2</v>
      </c>
      <c r="E124" s="194">
        <v>62</v>
      </c>
      <c r="F124" s="195">
        <v>60</v>
      </c>
      <c r="G124" s="74" t="s">
        <v>25</v>
      </c>
      <c r="H124" s="72" t="s">
        <v>131</v>
      </c>
      <c r="I124" s="74">
        <v>0.15</v>
      </c>
      <c r="J124" s="76">
        <v>949</v>
      </c>
      <c r="K124" s="79" t="str">
        <f>HYPERLINK("http://amzn.to/2faVsIu","link*")</f>
        <v>link*</v>
      </c>
      <c r="L124" s="79" t="str">
        <f>HYPERLINK("https://www.bhphotovideo.com/c/product/1080387-REG/zeiss_2103_748_loxia_50mm_f_2_planar.html/BI/19619/KBID/12129/kw/ZE502LFE/DFF/d10-v2-t1-xZE502LFE","link*")</f>
        <v>link*</v>
      </c>
      <c r="M124" s="79" t="str">
        <f>HYPERLINK("http://amzn.to/2wyJAU4","link*")</f>
        <v>link*</v>
      </c>
      <c r="N124" s="79"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O124" s="84">
        <v>45</v>
      </c>
      <c r="P124" s="70" t="s">
        <v>27</v>
      </c>
      <c r="Q124" s="74">
        <v>10</v>
      </c>
      <c r="R124" s="112">
        <v>43561</v>
      </c>
      <c r="S124" s="74" t="s">
        <v>87</v>
      </c>
      <c r="T124" s="88">
        <v>41913</v>
      </c>
      <c r="U124" s="77" t="s">
        <v>166</v>
      </c>
    </row>
    <row r="125" spans="1:21" ht="13" hidden="1">
      <c r="A125" s="126" t="str">
        <f>HYPERLINK("https://phillipreeve.net/blog/rolling-review-sony-fe-2-850-macro/","Sony 50mm F/2.8 Macro")</f>
        <v>Sony 50mm F/2.8 Macro</v>
      </c>
      <c r="B125" s="60">
        <v>236</v>
      </c>
      <c r="C125" s="67">
        <v>50</v>
      </c>
      <c r="D125" s="64">
        <v>1.8</v>
      </c>
      <c r="E125" s="194">
        <v>72</v>
      </c>
      <c r="F125" s="195">
        <v>71</v>
      </c>
      <c r="G125" s="74" t="s">
        <v>36</v>
      </c>
      <c r="H125" s="72" t="s">
        <v>147</v>
      </c>
      <c r="I125" s="263">
        <v>1</v>
      </c>
      <c r="J125" s="184">
        <v>499</v>
      </c>
      <c r="K125" s="79" t="str">
        <f>HYPERLINK("http://amzn.to/2v2g0qz","link*")</f>
        <v>link*</v>
      </c>
      <c r="L125" s="79" t="str">
        <f>HYPERLINK("https://www.bhphotovideo.com/c/product/1277527-REG/sony_sel50m28_fe_50mm_f_2_8_macro.html/BI/19619/KBID/12129/kw/SO5028FF/DFF/d10-v2-t1-xSO5028FF","link*")</f>
        <v>link*</v>
      </c>
      <c r="M125" s="79" t="str">
        <f>HYPERLINK("http://amzn.to/2vbknRN","link*")</f>
        <v>link*</v>
      </c>
      <c r="N125" s="79"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O125" s="84">
        <v>16</v>
      </c>
      <c r="P125" s="70" t="s">
        <v>27</v>
      </c>
      <c r="Q125" s="74">
        <v>7</v>
      </c>
      <c r="R125" s="112">
        <v>43654</v>
      </c>
      <c r="S125" s="74" t="s">
        <v>41</v>
      </c>
      <c r="T125" s="88">
        <v>42614</v>
      </c>
    </row>
    <row r="126" spans="1:21" ht="13" hidden="1">
      <c r="A126" s="126" t="str">
        <f>HYPERLINK("https://phillipreeve.net/blog/sony-fe-1-855-za-sonnar-t-review/","Sony ZA 55mm F1.8 Sonnar")</f>
        <v>Sony ZA 55mm F1.8 Sonnar</v>
      </c>
      <c r="B126" s="60">
        <v>281</v>
      </c>
      <c r="C126" s="67">
        <v>55</v>
      </c>
      <c r="D126" s="64">
        <v>1.8</v>
      </c>
      <c r="E126" s="194">
        <v>64</v>
      </c>
      <c r="F126" s="195">
        <v>71</v>
      </c>
      <c r="G126" s="74" t="s">
        <v>36</v>
      </c>
      <c r="H126" s="72" t="s">
        <v>124</v>
      </c>
      <c r="I126" s="74">
        <v>0.14000000000000001</v>
      </c>
      <c r="J126" s="76">
        <v>999</v>
      </c>
      <c r="K126" s="79" t="str">
        <f>HYPERLINK("https://amzn.to/2ywdgEk","link*")</f>
        <v>link*</v>
      </c>
      <c r="L126" s="79" t="str">
        <f>HYPERLINK("https://www.bhphotovideo.com/c/product/1008124-REG/sony_sel55f18z_sonnar_t_fe_55mm.html/BI/19619/KBID/12129/DFF/d10-v21-t1-x466841/SID/EZ","link*")</f>
        <v>link*</v>
      </c>
      <c r="M126" s="113" t="s">
        <v>51</v>
      </c>
      <c r="N126" s="79"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126" s="84">
        <v>50</v>
      </c>
      <c r="P126" s="70" t="s">
        <v>27</v>
      </c>
      <c r="Q126" s="74">
        <v>9</v>
      </c>
      <c r="R126" s="112">
        <v>43592</v>
      </c>
      <c r="S126" s="74" t="s">
        <v>41</v>
      </c>
      <c r="T126" s="88">
        <v>41548</v>
      </c>
    </row>
    <row r="127" spans="1:21" ht="13">
      <c r="A127" s="126" t="str">
        <f>HYPERLINK("https://phillipreeve.net/blog/voigtlander-110mm-f2-5-apo-review/","Voigtlander 110mm F2.5 APO Macro")</f>
        <v>Voigtlander 110mm F2.5 APO Macro</v>
      </c>
      <c r="B127" s="60">
        <v>771</v>
      </c>
      <c r="C127" s="67">
        <v>110</v>
      </c>
      <c r="D127" s="64">
        <v>2.5</v>
      </c>
      <c r="E127" s="194">
        <v>78</v>
      </c>
      <c r="F127" s="195">
        <v>100</v>
      </c>
      <c r="G127" s="74" t="s">
        <v>25</v>
      </c>
      <c r="H127" s="72" t="s">
        <v>71</v>
      </c>
      <c r="I127" s="263">
        <v>1</v>
      </c>
      <c r="J127" s="76">
        <v>1099</v>
      </c>
      <c r="K127" s="79" t="str">
        <f>HYPERLINK("https://amzn.to/2SXYsrm","link*")</f>
        <v>link*</v>
      </c>
      <c r="L127" s="79" t="str">
        <f>HYPERLINK("https://www.bhphotovideo.com/c/product/1418780-REG/voigtlander_ba349a_macro_apo_lanthar_110mm_f_2_5.html/BI/19619/KBID/12129/kw/VO11025/DFF/d10-v2-t1-xVO11025","link*")</f>
        <v>link*</v>
      </c>
      <c r="M127" s="113" t="s">
        <v>51</v>
      </c>
      <c r="N127" s="79"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O127" s="84">
        <v>35</v>
      </c>
      <c r="P127" s="70" t="s">
        <v>27</v>
      </c>
      <c r="Q127" s="74">
        <v>10</v>
      </c>
      <c r="R127" s="112">
        <v>43813</v>
      </c>
      <c r="S127" s="74" t="s">
        <v>29</v>
      </c>
      <c r="T127" s="290">
        <v>43405</v>
      </c>
    </row>
    <row r="128" spans="1:21" ht="13" hidden="1">
      <c r="A128" s="58" t="s">
        <v>167</v>
      </c>
      <c r="B128" s="60">
        <v>562</v>
      </c>
      <c r="C128" s="67">
        <v>70</v>
      </c>
      <c r="D128" s="64">
        <v>2.8</v>
      </c>
      <c r="E128" s="194">
        <v>71</v>
      </c>
      <c r="F128" s="195">
        <v>106</v>
      </c>
      <c r="G128" s="74" t="s">
        <v>36</v>
      </c>
      <c r="H128" s="72" t="s">
        <v>124</v>
      </c>
      <c r="I128" s="263">
        <v>1</v>
      </c>
      <c r="J128" s="241">
        <v>569</v>
      </c>
      <c r="K128" s="79" t="str">
        <f>HYPERLINK("https://amzn.to/2YGO9te","link*")</f>
        <v>link*</v>
      </c>
      <c r="L128" s="79" t="str">
        <f>HYPERLINK("https://www.bhphotovideo.com/c/product/1393483-REG/sigma_70mm_f_2_8_dg_macro.html/BI/19619/KBID/12129/DFF/d10-v21-t1-x895111/SID/EZ","link*")</f>
        <v>link*</v>
      </c>
      <c r="M128" s="113" t="s">
        <v>51</v>
      </c>
      <c r="N128" s="79" t="e">
        <f>HYPERLINK("http://rover.ebay.com/rover/1/711-53200-19255-0/1?icep_ff3=9&amp;pub=5575076376&amp;toolid=10001&amp;campid=5338164340&amp;customid=&amp;icep_uq=sigma+70+2.8+macro+sony&amp;icep_sellerId=&amp;icep_ex_kw=&amp;icep_sortBy=12&amp;icep_catId=3323&amp;icep_minPrice=&amp;icep_maxPrice=&amp;ipn=psmain&amp;icep_ve"&amp;"ctorid=229466&amp;kwid=902099&amp;mtid=824&amp;kw=lg","link*")</f>
        <v>#VALUE!</v>
      </c>
      <c r="O128" s="84">
        <v>26</v>
      </c>
      <c r="P128" s="70" t="s">
        <v>27</v>
      </c>
      <c r="Q128" s="74">
        <v>9</v>
      </c>
      <c r="R128" s="112">
        <v>43751</v>
      </c>
      <c r="S128" s="74" t="s">
        <v>47</v>
      </c>
      <c r="T128" s="88">
        <v>43221</v>
      </c>
      <c r="U128" s="77" t="s">
        <v>48</v>
      </c>
    </row>
    <row r="129" spans="1:21" ht="13" hidden="1">
      <c r="A129" s="58" t="s">
        <v>168</v>
      </c>
      <c r="B129" s="60">
        <v>1480</v>
      </c>
      <c r="C129" s="67">
        <v>70</v>
      </c>
      <c r="D129" s="64">
        <v>2.8</v>
      </c>
      <c r="E129" s="194">
        <v>88</v>
      </c>
      <c r="F129" s="195">
        <v>200</v>
      </c>
      <c r="G129" s="74" t="s">
        <v>36</v>
      </c>
      <c r="H129" s="72" t="s">
        <v>80</v>
      </c>
      <c r="I129" s="239">
        <v>0.25</v>
      </c>
      <c r="J129" s="76">
        <v>2599</v>
      </c>
      <c r="K129" s="79" t="str">
        <f>HYPERLINK("https://amzn.to/2KbaJGn","link*")</f>
        <v>link*</v>
      </c>
      <c r="L129" s="79" t="str">
        <f>HYPERLINK("https://www.bhphotovideo.com/c/product/1222776-REG/sony_sel70200gm_fe_70_200mm_f_2_8_gm.html/BI/19619/KBID/12129/DFF/d10-v21-t1-x746807/SID/EZ","link*")</f>
        <v>link*</v>
      </c>
      <c r="M129" s="113" t="s">
        <v>51</v>
      </c>
      <c r="N129"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129" s="84">
        <v>96</v>
      </c>
      <c r="P129" s="134" t="s">
        <v>66</v>
      </c>
      <c r="Q129" s="74">
        <v>11</v>
      </c>
      <c r="R129" s="115" t="s">
        <v>169</v>
      </c>
      <c r="S129" s="74" t="s">
        <v>41</v>
      </c>
      <c r="T129" s="88">
        <v>42401</v>
      </c>
    </row>
    <row r="130" spans="1:21" ht="13" hidden="1">
      <c r="A130" s="58" t="s">
        <v>170</v>
      </c>
      <c r="B130" s="60">
        <v>854</v>
      </c>
      <c r="C130" s="67">
        <v>70</v>
      </c>
      <c r="D130" s="64" t="s">
        <v>171</v>
      </c>
      <c r="E130" s="194">
        <v>84</v>
      </c>
      <c r="F130" s="195">
        <v>144</v>
      </c>
      <c r="G130" s="74" t="s">
        <v>36</v>
      </c>
      <c r="H130" s="72" t="s">
        <v>64</v>
      </c>
      <c r="I130" s="201">
        <v>0.31</v>
      </c>
      <c r="J130" s="76">
        <v>1198</v>
      </c>
      <c r="K130" s="79" t="str">
        <f>HYPERLINK("https://amzn.to/2SVN1Ao","link*")</f>
        <v>link*</v>
      </c>
      <c r="L130" s="79" t="str">
        <f>HYPERLINK("https://www.bhphotovideo.com/c/product/1242614-REG/sony_sel70300g_fe_70_300mm_f_4_5_5_6_g.html/BI/19619/KBID/12129/DFF/d10-v21-t1-x722726/SID/EZ","link*")</f>
        <v>link*</v>
      </c>
      <c r="M130" s="113" t="s">
        <v>51</v>
      </c>
      <c r="N130"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130" s="84">
        <v>90</v>
      </c>
      <c r="P130" s="134" t="s">
        <v>66</v>
      </c>
      <c r="Q130" s="74">
        <v>9</v>
      </c>
      <c r="R130" s="115" t="s">
        <v>72</v>
      </c>
      <c r="S130" s="74" t="s">
        <v>41</v>
      </c>
      <c r="T130" s="88">
        <v>42430</v>
      </c>
    </row>
    <row r="131" spans="1:21" ht="13" hidden="1">
      <c r="A131" s="126" t="str">
        <f>HYPERLINK("https://phillipreeve.net/blog/review-sony-fe-470-200-g-oss/https://phillipreeve.net/blog/review-sony-fe-470-200-g-oss/","Sony G 4/70-200 OSS")</f>
        <v>Sony G 4/70-200 OSS</v>
      </c>
      <c r="B131" s="60">
        <v>840</v>
      </c>
      <c r="C131" s="67">
        <v>70</v>
      </c>
      <c r="D131" s="64">
        <v>4</v>
      </c>
      <c r="E131" s="194">
        <v>80</v>
      </c>
      <c r="F131" s="195">
        <v>175</v>
      </c>
      <c r="G131" s="74" t="s">
        <v>36</v>
      </c>
      <c r="H131" s="72" t="s">
        <v>64</v>
      </c>
      <c r="I131" s="74">
        <v>0.18</v>
      </c>
      <c r="J131" s="76">
        <v>1498</v>
      </c>
      <c r="K131" s="79" t="str">
        <f>HYPERLINK("http://amzn.to/2fbeX3x","link*")</f>
        <v>link*</v>
      </c>
      <c r="L131" s="79" t="str">
        <f>HYPERLINK("https://www.bhphotovideo.com/c/product/1380865-REG/sony_fe_70_200mm_f_4_g.html/BI/19619/KBID/12129/kw/SO702004F/DFF/d10-v2-t1-xSO702004F","link*")</f>
        <v>link*</v>
      </c>
      <c r="M131" s="79" t="str">
        <f>HYPERLINK("http://amzn.to/2vbFQKj","link*")</f>
        <v>link*</v>
      </c>
      <c r="N131" s="79"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131" s="84">
        <v>100</v>
      </c>
      <c r="P131" s="134" t="s">
        <v>66</v>
      </c>
      <c r="Q131" s="74">
        <v>9</v>
      </c>
      <c r="R131" s="115" t="s">
        <v>173</v>
      </c>
      <c r="S131" s="74" t="s">
        <v>41</v>
      </c>
      <c r="T131" s="88">
        <v>41548</v>
      </c>
    </row>
    <row r="132" spans="1:21" ht="13" hidden="1">
      <c r="A132" s="126" t="str">
        <f>HYPERLINK("https://phillipreeve.net/blog/review-sony-fe-85mm-1-4-gm/","Sony GM 1.4/85")</f>
        <v>Sony GM 1.4/85</v>
      </c>
      <c r="B132" s="60">
        <v>854</v>
      </c>
      <c r="C132" s="67">
        <v>85</v>
      </c>
      <c r="D132" s="64">
        <v>1.4</v>
      </c>
      <c r="E132" s="194">
        <v>84</v>
      </c>
      <c r="F132" s="195">
        <v>108</v>
      </c>
      <c r="G132" s="74" t="s">
        <v>36</v>
      </c>
      <c r="H132" s="72" t="s">
        <v>80</v>
      </c>
      <c r="I132" s="74">
        <v>0.12</v>
      </c>
      <c r="J132" s="76">
        <v>1799</v>
      </c>
      <c r="K132" s="79" t="str">
        <f>HYPERLINK("https://amzn.to/2SZeKAh","link*")</f>
        <v>link*</v>
      </c>
      <c r="L132" s="79" t="str">
        <f>HYPERLINK("https://www.bhphotovideo.com/c/product/1222775-REG/sony_sel85f14gm_fe_85mm_f_1_4_gm.html/BI/19619/KBID/12129/DFF/d10-v21-t1-x707644/SID/EZ","link*")</f>
        <v>link*</v>
      </c>
      <c r="M132" s="113" t="s">
        <v>51</v>
      </c>
      <c r="N132" s="7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132" s="84">
        <v>80</v>
      </c>
      <c r="P132" s="70" t="s">
        <v>27</v>
      </c>
      <c r="Q132" s="74">
        <v>11</v>
      </c>
      <c r="R132" s="112">
        <v>43688</v>
      </c>
      <c r="S132" s="74" t="s">
        <v>41</v>
      </c>
      <c r="T132" s="88">
        <v>42401</v>
      </c>
    </row>
    <row r="133" spans="1:21" ht="13" hidden="1">
      <c r="A133" s="58" t="s">
        <v>174</v>
      </c>
      <c r="B133" s="60">
        <v>1130</v>
      </c>
      <c r="C133" s="67">
        <v>85</v>
      </c>
      <c r="D133" s="64">
        <v>1.4</v>
      </c>
      <c r="E133" s="194">
        <v>95</v>
      </c>
      <c r="F133" s="195">
        <v>152</v>
      </c>
      <c r="G133" s="74" t="s">
        <v>36</v>
      </c>
      <c r="H133" s="269" t="s">
        <v>175</v>
      </c>
      <c r="I133" s="74">
        <v>0.12</v>
      </c>
      <c r="J133" s="76">
        <v>1199</v>
      </c>
      <c r="K133" s="79" t="str">
        <f>HYPERLINK("https://amzn.to/2MBd68k","link*")</f>
        <v>link*</v>
      </c>
      <c r="L133" s="79" t="str">
        <f>HYPERLINK("https://www.bhphotovideo.com/c/product/1393494-REG/sigma_85mm_f_1_4_dg_hsm.html/BI/19619/KBID/12129/kw/SI8514SO/DFF/d10-v2-t1-xSI8514SO","link*")</f>
        <v>link*</v>
      </c>
      <c r="M133" s="79" t="str">
        <f>HYPERLINK("https://amzn.to/2Wto6JH","link*")</f>
        <v>link*</v>
      </c>
      <c r="N133" s="79"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O133" s="84">
        <v>85</v>
      </c>
      <c r="P133" s="70" t="s">
        <v>27</v>
      </c>
      <c r="Q133" s="74">
        <v>9</v>
      </c>
      <c r="R133" s="112">
        <v>43724</v>
      </c>
      <c r="S133" s="74" t="s">
        <v>47</v>
      </c>
      <c r="T133" s="88">
        <v>43221</v>
      </c>
      <c r="U133" s="77" t="s">
        <v>48</v>
      </c>
    </row>
    <row r="134" spans="1:21" ht="13" hidden="1">
      <c r="A134" s="58" t="s">
        <v>176</v>
      </c>
      <c r="B134" s="60">
        <v>568</v>
      </c>
      <c r="C134" s="67">
        <v>85</v>
      </c>
      <c r="D134" s="64">
        <v>1.4</v>
      </c>
      <c r="E134" s="194">
        <v>88</v>
      </c>
      <c r="F134" s="195">
        <v>100</v>
      </c>
      <c r="G134" s="74" t="s">
        <v>36</v>
      </c>
      <c r="H134" s="72" t="s">
        <v>80</v>
      </c>
      <c r="I134" s="74">
        <v>0.11</v>
      </c>
      <c r="J134" s="156">
        <v>699</v>
      </c>
      <c r="K134" s="79" t="str">
        <f>HYPERLINK("https://amzn.to/2T0yJ1A","link*")</f>
        <v>link*</v>
      </c>
      <c r="L134" s="79" t="str">
        <f>HYPERLINK("https://www.bhphotovideo.com/c/product/1470654-REG/samyang_syio85af_e_af_85mm_f_1_4_lens.html/BI/19619/KBID/12129/DFF/d10-v21-t1-x955078/SID/EZ","link*")</f>
        <v>link*</v>
      </c>
      <c r="M134" s="113" t="s">
        <v>51</v>
      </c>
      <c r="N134"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134" s="84">
        <v>90</v>
      </c>
      <c r="P134" s="70" t="s">
        <v>27</v>
      </c>
      <c r="Q134" s="74">
        <v>9</v>
      </c>
      <c r="R134" s="112">
        <v>43688</v>
      </c>
      <c r="S134" s="74" t="s">
        <v>38</v>
      </c>
      <c r="T134" s="88">
        <v>43586</v>
      </c>
    </row>
    <row r="135" spans="1:21" ht="13" hidden="1">
      <c r="A135" s="126" t="str">
        <f>HYPERLINK("https://phillipreeve.net/blog/review-sony-fe-85-mm-1-8/","Sony FE 85mm f/1.8")</f>
        <v>Sony FE 85mm f/1.8</v>
      </c>
      <c r="B135" s="60">
        <v>371</v>
      </c>
      <c r="C135" s="67">
        <v>85</v>
      </c>
      <c r="D135" s="64">
        <v>1.8</v>
      </c>
      <c r="E135" s="194">
        <v>77</v>
      </c>
      <c r="F135" s="195">
        <v>82</v>
      </c>
      <c r="G135" s="74" t="s">
        <v>36</v>
      </c>
      <c r="H135" s="72" t="s">
        <v>73</v>
      </c>
      <c r="I135" s="74">
        <v>0.13</v>
      </c>
      <c r="J135" s="156">
        <v>599</v>
      </c>
      <c r="K135" s="79" t="str">
        <f>HYPERLINK("https://amzn.to/2YB4RxU","link*")</f>
        <v>link*</v>
      </c>
      <c r="L135" s="79" t="str">
        <f t="shared" ref="L135:L136" si="1">HYPERLINK("https://www.bhphotovideo.com/c/product/1140833-REG/zeiss_2103_751_85mm_f_1_8_batis_short.html/BI/19619/KBID/12129/DFF/d10-v21-t1-x627139/SID/EZ","link*")</f>
        <v>link*</v>
      </c>
      <c r="M135" s="113" t="s">
        <v>51</v>
      </c>
      <c r="N135"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135" s="84">
        <v>80</v>
      </c>
      <c r="P135" s="70" t="s">
        <v>27</v>
      </c>
      <c r="Q135" s="74">
        <v>9</v>
      </c>
      <c r="R135" s="112">
        <v>43686</v>
      </c>
      <c r="S135" s="74" t="s">
        <v>41</v>
      </c>
      <c r="T135" s="88">
        <v>42767</v>
      </c>
    </row>
    <row r="136" spans="1:21" ht="13" hidden="1">
      <c r="A136" s="126" t="str">
        <f>HYPERLINK("https://phillipreeve.net/blog/zeiss-batis-sonnar-t-85mm-f1-8-a-review/","Zeiss Batis 1.8/85")</f>
        <v>Zeiss Batis 1.8/85</v>
      </c>
      <c r="B136" s="60">
        <v>475</v>
      </c>
      <c r="C136" s="67">
        <v>85</v>
      </c>
      <c r="D136" s="64">
        <v>1.8</v>
      </c>
      <c r="E136" s="194">
        <v>92</v>
      </c>
      <c r="F136" s="195">
        <v>81</v>
      </c>
      <c r="G136" s="74" t="s">
        <v>36</v>
      </c>
      <c r="H136" s="72" t="s">
        <v>73</v>
      </c>
      <c r="I136" s="74">
        <v>0.13</v>
      </c>
      <c r="J136" s="76">
        <v>1199</v>
      </c>
      <c r="K136" s="79" t="str">
        <f>HYPERLINK("https://amzn.to/2T8oWqt","link*")</f>
        <v>link*</v>
      </c>
      <c r="L136" s="79" t="str">
        <f t="shared" si="1"/>
        <v>link*</v>
      </c>
      <c r="M136" s="113" t="s">
        <v>51</v>
      </c>
      <c r="N136"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136" s="84">
        <v>80</v>
      </c>
      <c r="P136" s="134" t="s">
        <v>66</v>
      </c>
      <c r="Q136" s="74">
        <v>9</v>
      </c>
      <c r="R136" s="112">
        <v>43688</v>
      </c>
      <c r="S136" s="74" t="s">
        <v>87</v>
      </c>
      <c r="T136" s="88">
        <v>42125</v>
      </c>
    </row>
    <row r="137" spans="1:21" ht="13" hidden="1">
      <c r="A137" s="58" t="s">
        <v>197</v>
      </c>
      <c r="B137" s="60">
        <v>665</v>
      </c>
      <c r="C137" s="67">
        <v>85</v>
      </c>
      <c r="D137" s="64">
        <v>1.8</v>
      </c>
      <c r="E137" s="194">
        <v>79</v>
      </c>
      <c r="F137" s="195">
        <v>92</v>
      </c>
      <c r="G137" s="74" t="s">
        <v>25</v>
      </c>
      <c r="H137" s="72" t="s">
        <v>64</v>
      </c>
      <c r="I137" s="74">
        <v>0.13</v>
      </c>
      <c r="J137" s="76">
        <v>299</v>
      </c>
      <c r="K137" s="79" t="str">
        <f>HYPERLINK("https://amzn.to/2LVVOBV","link*")</f>
        <v>link*</v>
      </c>
      <c r="L137" s="79" t="str">
        <f>HYPERLINK("https://www.bhphotovideo.com/c/product/1469189-REG/viltrox_pfu_rbmh_85mm_f1_8_e_mount_85mm_f_1_8_for_sony.html/BI/19619/KBID/12129/DFF/d10-v21-t1-x954301/SID/EZ","link*")</f>
        <v>link*</v>
      </c>
      <c r="M137" s="113" t="s">
        <v>51</v>
      </c>
      <c r="N137" s="79"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O137" s="84">
        <v>80</v>
      </c>
      <c r="P137" s="70" t="s">
        <v>27</v>
      </c>
      <c r="Q137" s="74">
        <v>9</v>
      </c>
      <c r="R137" s="112">
        <v>43656</v>
      </c>
      <c r="S137" s="74" t="s">
        <v>106</v>
      </c>
      <c r="T137" s="612">
        <v>43586</v>
      </c>
      <c r="U137" s="77" t="s">
        <v>200</v>
      </c>
    </row>
    <row r="138" spans="1:21" ht="13" hidden="1">
      <c r="A138" s="58" t="s">
        <v>177</v>
      </c>
      <c r="B138" s="60">
        <v>636</v>
      </c>
      <c r="C138" s="67">
        <v>85</v>
      </c>
      <c r="D138" s="64">
        <v>1.8</v>
      </c>
      <c r="E138" s="194">
        <v>79</v>
      </c>
      <c r="F138" s="195">
        <v>92</v>
      </c>
      <c r="G138" s="74" t="s">
        <v>36</v>
      </c>
      <c r="H138" s="72" t="s">
        <v>64</v>
      </c>
      <c r="I138" s="74">
        <v>0.13</v>
      </c>
      <c r="J138" s="76">
        <v>379</v>
      </c>
      <c r="K138" s="79" t="str">
        <f>HYPERLINK("https://amzn.to/2SZfd5v","link*")</f>
        <v>link*</v>
      </c>
      <c r="L138" s="79" t="str">
        <f>HYPERLINK("https://www.bhphotovideo.com/c/product/1470585-REG/viltrox_pfu_rbmh_85mm_f1_8_stm_e_mount_85mm_f_1_8_lens_for.html/BI/19619/KBID/12129/DFF/d10-v21-t1-x955239/SID/EZ","link*")</f>
        <v>link*</v>
      </c>
      <c r="M138" s="113" t="s">
        <v>51</v>
      </c>
      <c r="N138"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138" s="84">
        <v>80</v>
      </c>
      <c r="P138" s="70" t="s">
        <v>27</v>
      </c>
      <c r="Q138" s="74">
        <v>9</v>
      </c>
      <c r="R138" s="112">
        <v>43656</v>
      </c>
      <c r="S138" s="74" t="s">
        <v>106</v>
      </c>
      <c r="T138" s="88">
        <v>43586</v>
      </c>
    </row>
    <row r="139" spans="1:21" ht="13" hidden="1">
      <c r="A139" s="126" t="str">
        <f>HYPERLINK("https://phillipreeve.net/blog/rolling-review-zeiss-loxia-85mm-2-4/","Zeiss Loxia 2.4/85")</f>
        <v>Zeiss Loxia 2.4/85</v>
      </c>
      <c r="B139" s="60">
        <v>594</v>
      </c>
      <c r="C139" s="67">
        <v>85</v>
      </c>
      <c r="D139" s="64">
        <v>2.4</v>
      </c>
      <c r="E139" s="194">
        <v>63</v>
      </c>
      <c r="F139" s="195">
        <v>95</v>
      </c>
      <c r="G139" s="74" t="s">
        <v>25</v>
      </c>
      <c r="H139" s="72" t="s">
        <v>131</v>
      </c>
      <c r="I139" s="74">
        <v>0.14000000000000001</v>
      </c>
      <c r="J139" s="76">
        <v>1399</v>
      </c>
      <c r="K139" s="79" t="str">
        <f>HYPERLINK("https://amzn.to/2SY4PLd","link*")</f>
        <v>link*</v>
      </c>
      <c r="L139" s="79" t="str">
        <f>HYPERLINK("https://www.bhphotovideo.com/c/product/1282150-REG/zeiss_2162_636_loxia_85mm_f_2_4_lens.html/BI/19619/KBID/12129/DFF/d10-v21-t1-x762761/SID/EZ","link*")</f>
        <v>link*</v>
      </c>
      <c r="M139" s="113" t="s">
        <v>51</v>
      </c>
      <c r="N139" s="79"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O139" s="84">
        <v>80</v>
      </c>
      <c r="P139" s="70" t="s">
        <v>27</v>
      </c>
      <c r="Q139" s="74">
        <v>10</v>
      </c>
      <c r="R139" s="112">
        <v>43653</v>
      </c>
      <c r="S139" s="74" t="s">
        <v>87</v>
      </c>
      <c r="T139" s="88">
        <v>42644</v>
      </c>
    </row>
    <row r="140" spans="1:21" ht="13" hidden="1">
      <c r="A140" s="126" t="str">
        <f>HYPERLINK("https://phillipreeve.net/blog/review-sony-fe-90mm-f2-8-macro-oss-one-of-sonys-finest/","Sony 2.8/90 G OSS")</f>
        <v>Sony 2.8/90 G OSS</v>
      </c>
      <c r="B140" s="60">
        <v>602</v>
      </c>
      <c r="C140" s="67">
        <v>90</v>
      </c>
      <c r="D140" s="64">
        <v>2.8</v>
      </c>
      <c r="E140" s="194">
        <v>79</v>
      </c>
      <c r="F140" s="195">
        <v>131</v>
      </c>
      <c r="G140" s="74" t="s">
        <v>36</v>
      </c>
      <c r="H140" s="72" t="s">
        <v>101</v>
      </c>
      <c r="I140" s="263">
        <v>1</v>
      </c>
      <c r="J140" s="76">
        <v>1099</v>
      </c>
      <c r="K140" s="79" t="str">
        <f>HYPERLINK("http://amzn.to/2fbeX3x","link*")</f>
        <v>link*</v>
      </c>
      <c r="L140" s="79" t="str">
        <f>HYPERLINK("https://www.bhphotovideo.com/c/product/1380868-REG/sony_fe_90mm_f_2_8_macro.html/BI/19619/KBID/12129/kw/SO9028F/DFF/d10-v2-t1-xSO9028F","link*")</f>
        <v>link*</v>
      </c>
      <c r="M140" s="79" t="str">
        <f>HYPERLINK("http://amzn.to/2vvvHcw","link*")</f>
        <v>link*</v>
      </c>
      <c r="N140"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140" s="84">
        <v>28</v>
      </c>
      <c r="P140" s="134" t="s">
        <v>66</v>
      </c>
      <c r="Q140" s="74">
        <v>9</v>
      </c>
      <c r="R140" s="112">
        <v>43784</v>
      </c>
      <c r="S140" s="74" t="s">
        <v>41</v>
      </c>
      <c r="T140" s="88">
        <v>42064</v>
      </c>
    </row>
    <row r="141" spans="1:21" ht="13" hidden="1">
      <c r="A141" s="126" t="str">
        <f>HYPERLINK("https://phillipreeve.net/blog/review-sony-fe-100-f-2-8-stf-gm-oss-lens/","Sony GM 2.8/100 STF OSS")</f>
        <v>Sony GM 2.8/100 STF OSS</v>
      </c>
      <c r="B141" s="60">
        <v>700</v>
      </c>
      <c r="C141" s="67">
        <v>100</v>
      </c>
      <c r="D141" s="64">
        <v>2.8</v>
      </c>
      <c r="E141" s="194">
        <v>85</v>
      </c>
      <c r="F141" s="195">
        <v>118</v>
      </c>
      <c r="G141" s="74" t="s">
        <v>36</v>
      </c>
      <c r="H141" s="72" t="s">
        <v>64</v>
      </c>
      <c r="I141" s="239">
        <v>0.25</v>
      </c>
      <c r="J141" s="76">
        <v>1499</v>
      </c>
      <c r="K141" s="79" t="str">
        <f>HYPERLINK("https://amzn.to/2YD8rn4","link*")</f>
        <v>link*</v>
      </c>
      <c r="L141" s="79" t="str">
        <f>HYPERLINK("https://www.bhphotovideo.com/c/product/1317561-REG/sony_sel100f28gm_fe_100mm_f_2_8_stf.html/BI/19619/KBID/12129/DFF/d10-v21-t1-x795192/SID/EZ","link*")</f>
        <v>link*</v>
      </c>
      <c r="M141" s="113" t="s">
        <v>51</v>
      </c>
      <c r="N141" s="7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141" s="84">
        <v>57</v>
      </c>
      <c r="P141" s="134" t="s">
        <v>66</v>
      </c>
      <c r="Q141" s="74">
        <v>11</v>
      </c>
      <c r="R141" s="112">
        <v>43752</v>
      </c>
      <c r="S141" s="74" t="s">
        <v>41</v>
      </c>
      <c r="T141" s="88">
        <v>42767</v>
      </c>
      <c r="U141" s="77" t="s">
        <v>178</v>
      </c>
    </row>
    <row r="142" spans="1:21" ht="13" hidden="1">
      <c r="A142" s="126" t="str">
        <f>HYPERLINK("https://phillipreeve.net/blog/review-tokina-firin-100mm-f2-8-fe-macro/","Tokina Firin 2.8/100 Macro")</f>
        <v>Tokina Firin 2.8/100 Macro</v>
      </c>
      <c r="B142" s="60">
        <v>570</v>
      </c>
      <c r="C142" s="67">
        <v>100</v>
      </c>
      <c r="D142" s="64">
        <v>2.8</v>
      </c>
      <c r="E142" s="194">
        <v>74</v>
      </c>
      <c r="F142" s="176">
        <v>123</v>
      </c>
      <c r="G142" s="74" t="s">
        <v>36</v>
      </c>
      <c r="H142" s="72" t="s">
        <v>147</v>
      </c>
      <c r="I142" s="263">
        <v>1</v>
      </c>
      <c r="J142" s="184">
        <v>599</v>
      </c>
      <c r="K142" s="79" t="str">
        <f>HYPERLINK("http://amzn.to/2fbeX3x","link*")</f>
        <v>link*</v>
      </c>
      <c r="L142" s="79" t="str">
        <f>HYPERLINK("https://www.bhphotovideo.com/c/product/1473390-REG/tokina_frn_afm100fxse_firin_100mm_f_2_8_fe.html/BI/19619/KBID/12129/kw/TO100AF/DFF/d10-v2-t1-xTO100AF","link*")</f>
        <v>link*</v>
      </c>
      <c r="M142" s="79"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N142"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142" s="84">
        <v>30</v>
      </c>
      <c r="P142" s="70" t="s">
        <v>27</v>
      </c>
      <c r="Q142" s="74">
        <v>9</v>
      </c>
      <c r="R142" s="112">
        <v>43686</v>
      </c>
      <c r="S142" s="74" t="s">
        <v>103</v>
      </c>
      <c r="T142" s="88">
        <v>43617</v>
      </c>
      <c r="U142" s="77" t="s">
        <v>48</v>
      </c>
    </row>
    <row r="143" spans="1:21" ht="13" hidden="1">
      <c r="A143" s="58" t="s">
        <v>179</v>
      </c>
      <c r="B143" s="60">
        <v>1395</v>
      </c>
      <c r="C143" s="67">
        <v>100</v>
      </c>
      <c r="D143" s="64" t="s">
        <v>171</v>
      </c>
      <c r="E143" s="194">
        <v>94</v>
      </c>
      <c r="F143" s="176">
        <v>205</v>
      </c>
      <c r="G143" s="74" t="s">
        <v>36</v>
      </c>
      <c r="H143" s="72" t="s">
        <v>80</v>
      </c>
      <c r="I143" s="239">
        <v>0.35</v>
      </c>
      <c r="J143" s="76">
        <v>2499</v>
      </c>
      <c r="K143" s="79" t="str">
        <f>HYPERLINK("https://amzn.to/2SZ0aZO","link*")</f>
        <v>link*</v>
      </c>
      <c r="L143" s="79" t="str">
        <f>HYPERLINK("https://www.bhphotovideo.com/c/product/1333230-REG/sony_sel100400gm_fe_100_400mm_f_4_5_5_6_gm.html/BI/19619/KBID/12129/DFF/d10-v21-t1-x817745/SID/EZ","link*")</f>
        <v>link*</v>
      </c>
      <c r="M143" s="113" t="s">
        <v>51</v>
      </c>
      <c r="N143" s="79"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143" s="84">
        <v>98</v>
      </c>
      <c r="P143" s="134" t="s">
        <v>66</v>
      </c>
      <c r="Q143" s="74">
        <v>11</v>
      </c>
      <c r="R143" s="115" t="s">
        <v>180</v>
      </c>
      <c r="S143" s="74" t="s">
        <v>41</v>
      </c>
      <c r="T143" s="88">
        <v>42826</v>
      </c>
    </row>
    <row r="144" spans="1:21" ht="13" hidden="1">
      <c r="A144" s="58" t="s">
        <v>181</v>
      </c>
      <c r="B144" s="60">
        <v>1600</v>
      </c>
      <c r="C144" s="67">
        <v>105</v>
      </c>
      <c r="D144" s="64">
        <v>1.4</v>
      </c>
      <c r="E144" s="194">
        <v>116</v>
      </c>
      <c r="F144" s="176">
        <v>132</v>
      </c>
      <c r="G144" s="74" t="s">
        <v>36</v>
      </c>
      <c r="H144" s="278" t="s">
        <v>182</v>
      </c>
      <c r="I144" s="74">
        <v>0.12</v>
      </c>
      <c r="J144" s="76">
        <v>1599</v>
      </c>
      <c r="K144" s="79" t="str">
        <f>HYPERLINK("https://amzn.to/2EWeThZ","link*")</f>
        <v>link*</v>
      </c>
      <c r="L144" s="79" t="str">
        <f>HYPERLINK("https://www.bhphotovideo.com/c/product/1393488-REG/sigma_105mm_f_1_4_dg_hsm.html/BI/19619/KBID/12129/kw/SI10514SO/DFF/d10-v2-t1-xSI10514SO","link*")</f>
        <v>link*</v>
      </c>
      <c r="M144" s="79" t="str">
        <f>HYPERLINK("https://amzn.to/2WpOvTy","link*")</f>
        <v>link*</v>
      </c>
      <c r="N144" s="79" t="e">
        <f>HYPERLINK("http://rover.ebay.com/rover/1/711-53200-19255-0/1?icep_ff3=9&amp;pub=5575076376&amp;toolid=10001&amp;campid=5338164340&amp;customid=&amp;icep_uq=sigma+art+100+1.4+sony&amp;icep_sellerId=&amp;icep_ex_kw=&amp;icep_sortBy=12&amp;icep_catId=3323&amp;icep_minPrice=&amp;icep_maxPrice=&amp;ipn=psmain&amp;icep_vec"&amp;"torid=229466&amp;kwid=902099&amp;mtid=824&amp;kw=lg","link*")</f>
        <v>#VALUE!</v>
      </c>
      <c r="O144" s="84">
        <v>100</v>
      </c>
      <c r="P144" s="70" t="s">
        <v>27</v>
      </c>
      <c r="Q144" s="74">
        <v>9</v>
      </c>
      <c r="R144" s="112">
        <v>43816</v>
      </c>
      <c r="S144" s="74" t="s">
        <v>183</v>
      </c>
      <c r="T144" s="88">
        <v>43221</v>
      </c>
      <c r="U144" s="77" t="s">
        <v>48</v>
      </c>
    </row>
    <row r="145" spans="1:21" ht="13">
      <c r="A145" s="126" t="str">
        <f>HYPERLINK("https://phillipreeve.net/blog/review-voigtlander-50mm-1-2-nokton-e/","Voigtlander 50mm F1.2 Nokton")</f>
        <v>Voigtlander 50mm F1.2 Nokton</v>
      </c>
      <c r="B145" s="60">
        <v>440</v>
      </c>
      <c r="C145" s="67">
        <v>50</v>
      </c>
      <c r="D145" s="304">
        <v>1.2</v>
      </c>
      <c r="E145" s="194">
        <v>70</v>
      </c>
      <c r="F145" s="195">
        <v>58</v>
      </c>
      <c r="G145" s="74" t="s">
        <v>25</v>
      </c>
      <c r="H145" s="72" t="s">
        <v>71</v>
      </c>
      <c r="I145" s="125"/>
      <c r="J145" s="76">
        <v>1099</v>
      </c>
      <c r="K145" s="79" t="str">
        <f>HYPERLINK("https://amzn.to/2OAfE7N","link*")</f>
        <v>link*</v>
      </c>
      <c r="L145" s="79" t="str">
        <f>HYPERLINK("https://www.bhphotovideo.com/c/product/1433349-REG/voigtlander_ba348a_nokton_50mm_f_1_2_aspherical.html/BI/19619/KBID/12129/DFF/d10-v21-t1-x915623/SID/EZ","link*")</f>
        <v>link*</v>
      </c>
      <c r="M145" s="113" t="s">
        <v>51</v>
      </c>
      <c r="N145" s="79" t="e">
        <f>HYPERLINK("http://rover.ebay.com/rover/1/711-53200-19255-0/1?icep_ff3=9&amp;pub=5575076376&amp;toolid=10001&amp;campid=5338164340&amp;customid=&amp;icep_uq=sony+50+1.2&amp;icep_sellerId=&amp;icep_ex_kw=&amp;icep_sortBy=12&amp;icep_catId=3323&amp;icep_minPrice=&amp;icep_maxPrice=&amp;ipn=psmain&amp;icep_vectorid=22946"&amp;"6&amp;kwid=902099&amp;mtid=824&amp;kw=lg","link*")</f>
        <v>#VALUE!</v>
      </c>
      <c r="O145" s="84">
        <v>45</v>
      </c>
      <c r="P145" s="70" t="s">
        <v>27</v>
      </c>
      <c r="Q145" s="74">
        <v>12</v>
      </c>
      <c r="R145" s="112">
        <v>43624</v>
      </c>
      <c r="S145" s="74" t="s">
        <v>29</v>
      </c>
      <c r="T145" s="88">
        <v>43556</v>
      </c>
    </row>
    <row r="146" spans="1:21" ht="13" hidden="1">
      <c r="A146" s="126" t="str">
        <f>HYPERLINK("https://phillipreeve.net/blog/review-sony-fe-135mm-f1-8-gm/","Sony 1.8/135 GM")</f>
        <v>Sony 1.8/135 GM</v>
      </c>
      <c r="B146" s="60">
        <v>950</v>
      </c>
      <c r="C146" s="67">
        <v>135</v>
      </c>
      <c r="D146" s="64">
        <v>1.8</v>
      </c>
      <c r="E146" s="194">
        <v>90</v>
      </c>
      <c r="F146" s="195">
        <v>127</v>
      </c>
      <c r="G146" s="74" t="s">
        <v>36</v>
      </c>
      <c r="H146" s="236" t="s">
        <v>68</v>
      </c>
      <c r="I146" s="239">
        <v>0.25</v>
      </c>
      <c r="J146" s="76">
        <v>1899</v>
      </c>
      <c r="K146" s="79" t="str">
        <f>HYPERLINK("https://amzn.to/2WtonMJ","link*")</f>
        <v>link*</v>
      </c>
      <c r="L146" s="79" t="str">
        <f>HYPERLINK("https://www.bhphotovideo.com/c/product/1393495-REG/sigma_135mm_f_1_8_dg_hsm.html/BI/19619/KBID/12129/kw/SI13518SO/DFF/d10-v2-t1-xSI13518SO","link*")</f>
        <v>link*</v>
      </c>
      <c r="M146" s="79" t="str">
        <f>HYPERLINK("https://amzn.to/2Z9KKDE","link*")</f>
        <v>link*</v>
      </c>
      <c r="N146" s="7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146" s="84">
        <v>70</v>
      </c>
      <c r="P146" s="70" t="s">
        <v>27</v>
      </c>
      <c r="Q146" s="74">
        <v>11</v>
      </c>
      <c r="R146" s="112">
        <v>43751</v>
      </c>
      <c r="S146" s="74" t="s">
        <v>41</v>
      </c>
      <c r="T146" s="88">
        <v>43525</v>
      </c>
    </row>
    <row r="147" spans="1:21" ht="13" hidden="1">
      <c r="A147" s="58" t="s">
        <v>185</v>
      </c>
      <c r="B147" s="60">
        <v>1130</v>
      </c>
      <c r="C147" s="67">
        <v>135</v>
      </c>
      <c r="D147" s="64">
        <v>1.8</v>
      </c>
      <c r="E147" s="194">
        <v>91</v>
      </c>
      <c r="F147" s="195">
        <v>115</v>
      </c>
      <c r="G147" s="74" t="s">
        <v>36</v>
      </c>
      <c r="H147" s="236" t="s">
        <v>68</v>
      </c>
      <c r="I147" s="74">
        <v>0.2</v>
      </c>
      <c r="J147" s="184">
        <v>1399</v>
      </c>
      <c r="K147" s="79" t="str">
        <f>HYPERLINK("https://amzn.to/2yxIM4R","link*")</f>
        <v>link*</v>
      </c>
      <c r="L147" s="79" t="str">
        <f>HYPERLINK("https://www.bhphotovideo.com/c/product/1393495-REG/sigma_135mm_f_1_8_dg_hsm.html/BI/19619/KBID/12129/DFF/d10-v21-t1-x881160/SID/EZ","link*")</f>
        <v>link*</v>
      </c>
      <c r="M147" s="113" t="s">
        <v>51</v>
      </c>
      <c r="N147" s="79"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O147" s="84">
        <v>87</v>
      </c>
      <c r="P147" s="70" t="s">
        <v>27</v>
      </c>
      <c r="Q147" s="74">
        <v>9</v>
      </c>
      <c r="R147" s="112">
        <v>43751</v>
      </c>
      <c r="S147" s="74" t="s">
        <v>47</v>
      </c>
      <c r="T147" s="88">
        <v>43221</v>
      </c>
      <c r="U147" s="77" t="s">
        <v>48</v>
      </c>
    </row>
    <row r="148" spans="1:21" ht="13" hidden="1">
      <c r="A148" s="126" t="str">
        <f>HYPERLINK("https://phillipreeve.net/blog/zeiss-batis-apo-sonnar-t-135mm-f2-8/","Zeiss 2.8/135 APO")</f>
        <v>Zeiss 2.8/135 APO</v>
      </c>
      <c r="B148" s="60">
        <v>614</v>
      </c>
      <c r="C148" s="67">
        <v>135</v>
      </c>
      <c r="D148" s="64">
        <v>2.8</v>
      </c>
      <c r="E148" s="194">
        <v>99</v>
      </c>
      <c r="F148" s="195">
        <v>120</v>
      </c>
      <c r="G148" s="74" t="s">
        <v>36</v>
      </c>
      <c r="H148" s="72" t="s">
        <v>73</v>
      </c>
      <c r="I148" s="74">
        <v>0.19</v>
      </c>
      <c r="J148" s="76">
        <v>1699</v>
      </c>
      <c r="K148" s="79" t="str">
        <f>HYPERLINK("https://amzn.to/319GJA4","link*")</f>
        <v>link*</v>
      </c>
      <c r="L148" s="79" t="str">
        <f>HYPERLINK("https://www.bhphotovideo.com/c/product/1330083-REG/zeiss_2136_695_batis_135mm_f_2_8_lens.html/BI/19619/KBID/12129/DFF/d10-v21-t1-x814884/SID/EZ","link*")</f>
        <v>link*</v>
      </c>
      <c r="M148" s="113" t="s">
        <v>51</v>
      </c>
      <c r="N148" s="79"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148" s="84">
        <v>87</v>
      </c>
      <c r="P148" s="134" t="s">
        <v>66</v>
      </c>
      <c r="Q148" s="74">
        <v>9</v>
      </c>
      <c r="R148" s="112">
        <v>43783</v>
      </c>
      <c r="S148" s="74" t="s">
        <v>87</v>
      </c>
      <c r="T148" s="88">
        <v>42826</v>
      </c>
    </row>
    <row r="149" spans="1:21" ht="13" hidden="1">
      <c r="A149" s="58" t="s">
        <v>186</v>
      </c>
      <c r="B149" s="60">
        <v>2215</v>
      </c>
      <c r="C149" s="67">
        <v>200</v>
      </c>
      <c r="D149" s="64" t="s">
        <v>187</v>
      </c>
      <c r="E149" s="194">
        <v>112</v>
      </c>
      <c r="F149" s="195">
        <v>318</v>
      </c>
      <c r="G149" s="74" t="s">
        <v>36</v>
      </c>
      <c r="H149" s="244" t="s">
        <v>152</v>
      </c>
      <c r="I149" s="74">
        <v>0.2</v>
      </c>
      <c r="J149" s="76">
        <v>1999</v>
      </c>
      <c r="K149" s="113"/>
      <c r="L149" s="79" t="str">
        <f>HYPERLINK("https://www.bhphotovideo.com/c/product/1485540-REG/sony_sel200600g_fe_200_600mm_f_5_6_6_3_g.html/BI/19619/KBID/12129/DFF/d10-v21-t1-x968882/SID/EZ","link*")</f>
        <v>link*</v>
      </c>
      <c r="M149" s="113" t="s">
        <v>51</v>
      </c>
      <c r="N149" s="79"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O149" s="84">
        <v>240</v>
      </c>
      <c r="P149" s="134" t="s">
        <v>66</v>
      </c>
      <c r="Q149" s="74">
        <v>11</v>
      </c>
      <c r="R149" s="115" t="s">
        <v>188</v>
      </c>
      <c r="S149" s="74" t="s">
        <v>41</v>
      </c>
      <c r="T149" s="88">
        <v>43647</v>
      </c>
    </row>
    <row r="150" spans="1:21" ht="13" hidden="1">
      <c r="A150" s="58" t="s">
        <v>189</v>
      </c>
      <c r="B150" s="60">
        <v>2895</v>
      </c>
      <c r="C150" s="67">
        <v>400</v>
      </c>
      <c r="D150" s="64">
        <v>2.8</v>
      </c>
      <c r="E150" s="194">
        <v>158</v>
      </c>
      <c r="F150" s="195">
        <v>359</v>
      </c>
      <c r="G150" s="74" t="s">
        <v>36</v>
      </c>
      <c r="H150" s="72" t="s">
        <v>190</v>
      </c>
      <c r="I150" s="74">
        <v>0.16</v>
      </c>
      <c r="J150" s="76">
        <v>11999</v>
      </c>
      <c r="K150" s="113"/>
      <c r="L150" s="79" t="str">
        <f>HYPERLINK("https://www.bhphotovideo.com/c/product/1369634-REG/sony_fe_400mm_f_2_8_gm.html/BI/19619/KBID/12129/DFF/d10-v21-t1-x905722/SID/EZ","link*")</f>
        <v>link*</v>
      </c>
      <c r="M150" s="113" t="s">
        <v>51</v>
      </c>
      <c r="N150" s="79"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O150" s="84">
        <v>270</v>
      </c>
      <c r="P150" s="134" t="s">
        <v>66</v>
      </c>
      <c r="Q150" s="74">
        <v>11</v>
      </c>
      <c r="R150" s="115" t="s">
        <v>191</v>
      </c>
      <c r="S150" s="74" t="s">
        <v>41</v>
      </c>
      <c r="T150" s="88">
        <v>43313</v>
      </c>
    </row>
    <row r="151" spans="1:21" ht="13" hidden="1">
      <c r="A151" s="281" t="s">
        <v>192</v>
      </c>
      <c r="B151" s="282">
        <v>3040</v>
      </c>
      <c r="C151" s="402">
        <v>600</v>
      </c>
      <c r="D151" s="284">
        <v>4</v>
      </c>
      <c r="E151" s="194">
        <v>164</v>
      </c>
      <c r="F151" s="195">
        <v>449</v>
      </c>
      <c r="G151" s="285" t="s">
        <v>36</v>
      </c>
      <c r="H151" s="286" t="s">
        <v>26</v>
      </c>
      <c r="I151" s="285">
        <v>0.14000000000000001</v>
      </c>
      <c r="J151" s="203" t="s">
        <v>193</v>
      </c>
      <c r="K151" s="113"/>
      <c r="L151" s="79" t="str">
        <f>HYPERLINK("https://www.bhphotovideo.com/c/product/1485539-REG/sony_sel600f40gm_fe_600mm_f_4_gm.html/BI/19619/KBID/12129/DFF/d10-v21-t1-x968881/SID/EZ","link*")</f>
        <v>link*</v>
      </c>
      <c r="M151" s="113" t="s">
        <v>51</v>
      </c>
      <c r="N151" s="7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151" s="287">
        <v>451</v>
      </c>
      <c r="P151" s="134" t="s">
        <v>66</v>
      </c>
      <c r="Q151" s="285">
        <v>11</v>
      </c>
      <c r="R151" s="288" t="s">
        <v>195</v>
      </c>
      <c r="S151" s="285" t="s">
        <v>41</v>
      </c>
      <c r="T151" s="289">
        <v>43678</v>
      </c>
    </row>
    <row r="152" spans="1:21" ht="13">
      <c r="H152" s="226"/>
      <c r="K152" s="214"/>
      <c r="L152" s="214"/>
      <c r="M152" s="214"/>
      <c r="N152" s="214"/>
    </row>
    <row r="153" spans="1:21" ht="13">
      <c r="H153" s="226"/>
    </row>
    <row r="154" spans="1:21" ht="13">
      <c r="H154" s="226"/>
    </row>
    <row r="155" spans="1:21" ht="13">
      <c r="H155" s="226"/>
    </row>
    <row r="156" spans="1:21" ht="13">
      <c r="H156" s="226"/>
    </row>
    <row r="157" spans="1:21" ht="13">
      <c r="H157" s="226"/>
    </row>
    <row r="158" spans="1:21" ht="13">
      <c r="H158" s="226"/>
    </row>
    <row r="159" spans="1:21" ht="13">
      <c r="H159" s="226"/>
    </row>
    <row r="160" spans="1:21" ht="13">
      <c r="H160" s="226"/>
    </row>
    <row r="161" spans="8:8" ht="13">
      <c r="H161" s="226"/>
    </row>
    <row r="162" spans="8:8" ht="13">
      <c r="H162" s="226"/>
    </row>
    <row r="163" spans="8:8" ht="13">
      <c r="H163" s="226"/>
    </row>
    <row r="164" spans="8:8" ht="13">
      <c r="H164" s="226"/>
    </row>
    <row r="165" spans="8:8" ht="13">
      <c r="H165" s="226"/>
    </row>
    <row r="166" spans="8:8" ht="13">
      <c r="H166" s="226"/>
    </row>
    <row r="167" spans="8:8" ht="13">
      <c r="H167" s="226"/>
    </row>
    <row r="168" spans="8:8" ht="13">
      <c r="H168" s="226"/>
    </row>
    <row r="169" spans="8:8" ht="13">
      <c r="H169" s="226"/>
    </row>
    <row r="170" spans="8:8" ht="13">
      <c r="H170" s="226"/>
    </row>
    <row r="171" spans="8:8" ht="13">
      <c r="H171" s="226"/>
    </row>
    <row r="172" spans="8:8" ht="13">
      <c r="H172" s="226"/>
    </row>
    <row r="173" spans="8:8" ht="13">
      <c r="H173" s="226"/>
    </row>
    <row r="174" spans="8:8" ht="13">
      <c r="H174" s="226"/>
    </row>
    <row r="175" spans="8:8" ht="13">
      <c r="H175" s="226"/>
    </row>
    <row r="176" spans="8:8" ht="13">
      <c r="H176" s="226"/>
    </row>
    <row r="177" spans="8:8" ht="13">
      <c r="H177" s="226"/>
    </row>
    <row r="178" spans="8:8" ht="13">
      <c r="H178" s="226"/>
    </row>
    <row r="179" spans="8:8" ht="13">
      <c r="H179" s="226"/>
    </row>
    <row r="180" spans="8:8" ht="13">
      <c r="H180" s="226"/>
    </row>
    <row r="181" spans="8:8" ht="13">
      <c r="H181" s="226"/>
    </row>
    <row r="182" spans="8:8" ht="13">
      <c r="H182" s="226"/>
    </row>
    <row r="183" spans="8:8" ht="13">
      <c r="H183" s="226"/>
    </row>
    <row r="184" spans="8:8" ht="13">
      <c r="H184" s="226"/>
    </row>
    <row r="185" spans="8:8" ht="13">
      <c r="H185" s="226"/>
    </row>
    <row r="186" spans="8:8" ht="13">
      <c r="H186" s="226"/>
    </row>
    <row r="187" spans="8:8" ht="13">
      <c r="H187" s="226"/>
    </row>
    <row r="188" spans="8:8" ht="13">
      <c r="H188" s="226"/>
    </row>
    <row r="189" spans="8:8" ht="13">
      <c r="H189" s="226"/>
    </row>
    <row r="190" spans="8:8" ht="13">
      <c r="H190" s="226"/>
    </row>
    <row r="191" spans="8:8" ht="13">
      <c r="H191" s="226"/>
    </row>
    <row r="192" spans="8:8" ht="13">
      <c r="H192" s="226"/>
    </row>
    <row r="193" spans="8:8" ht="13">
      <c r="H193" s="226"/>
    </row>
    <row r="194" spans="8:8" ht="13">
      <c r="H194" s="226"/>
    </row>
    <row r="195" spans="8:8" ht="13">
      <c r="H195" s="226"/>
    </row>
    <row r="196" spans="8:8" ht="13">
      <c r="H196" s="226"/>
    </row>
    <row r="197" spans="8:8" ht="13">
      <c r="H197" s="226"/>
    </row>
    <row r="198" spans="8:8" ht="13">
      <c r="H198" s="226"/>
    </row>
    <row r="199" spans="8:8" ht="13">
      <c r="H199" s="226"/>
    </row>
    <row r="200" spans="8:8" ht="13">
      <c r="H200" s="226"/>
    </row>
    <row r="201" spans="8:8" ht="13">
      <c r="H201" s="226"/>
    </row>
    <row r="202" spans="8:8" ht="13">
      <c r="H202" s="226"/>
    </row>
    <row r="203" spans="8:8" ht="13">
      <c r="H203" s="226"/>
    </row>
    <row r="204" spans="8:8" ht="13">
      <c r="H204" s="226"/>
    </row>
    <row r="205" spans="8:8" ht="13">
      <c r="H205" s="226"/>
    </row>
    <row r="206" spans="8:8" ht="13">
      <c r="H206" s="226"/>
    </row>
    <row r="207" spans="8:8" ht="13">
      <c r="H207" s="226"/>
    </row>
    <row r="208" spans="8:8" ht="13">
      <c r="H208" s="226"/>
    </row>
    <row r="209" spans="8:8" ht="13">
      <c r="H209" s="226"/>
    </row>
    <row r="210" spans="8:8" ht="13">
      <c r="H210" s="226"/>
    </row>
    <row r="211" spans="8:8" ht="13">
      <c r="H211" s="226"/>
    </row>
    <row r="212" spans="8:8" ht="13">
      <c r="H212" s="226"/>
    </row>
    <row r="213" spans="8:8" ht="13">
      <c r="H213" s="226"/>
    </row>
    <row r="214" spans="8:8" ht="13">
      <c r="H214" s="226"/>
    </row>
    <row r="215" spans="8:8" ht="13">
      <c r="H215" s="226"/>
    </row>
    <row r="216" spans="8:8" ht="13">
      <c r="H216" s="226"/>
    </row>
    <row r="217" spans="8:8" ht="13">
      <c r="H217" s="226"/>
    </row>
    <row r="218" spans="8:8" ht="13">
      <c r="H218" s="226"/>
    </row>
    <row r="219" spans="8:8" ht="13">
      <c r="H219" s="226"/>
    </row>
    <row r="220" spans="8:8" ht="13">
      <c r="H220" s="226"/>
    </row>
    <row r="221" spans="8:8" ht="13">
      <c r="H221" s="226"/>
    </row>
    <row r="222" spans="8:8" ht="13">
      <c r="H222" s="226"/>
    </row>
    <row r="223" spans="8:8" ht="13">
      <c r="H223" s="226"/>
    </row>
    <row r="224" spans="8:8" ht="13">
      <c r="H224" s="226"/>
    </row>
    <row r="225" spans="8:8" ht="13">
      <c r="H225" s="226"/>
    </row>
    <row r="226" spans="8:8" ht="13">
      <c r="H226" s="226"/>
    </row>
    <row r="227" spans="8:8" ht="13">
      <c r="H227" s="226"/>
    </row>
    <row r="228" spans="8:8" ht="13">
      <c r="H228" s="226"/>
    </row>
    <row r="229" spans="8:8" ht="13">
      <c r="H229" s="226"/>
    </row>
    <row r="230" spans="8:8" ht="13">
      <c r="H230" s="226"/>
    </row>
    <row r="231" spans="8:8" ht="13">
      <c r="H231" s="226"/>
    </row>
    <row r="232" spans="8:8" ht="13">
      <c r="H232" s="226"/>
    </row>
    <row r="233" spans="8:8" ht="13">
      <c r="H233" s="226"/>
    </row>
    <row r="234" spans="8:8" ht="13">
      <c r="H234" s="226"/>
    </row>
    <row r="235" spans="8:8" ht="13">
      <c r="H235" s="226"/>
    </row>
    <row r="236" spans="8:8" ht="13">
      <c r="H236" s="226"/>
    </row>
    <row r="237" spans="8:8" ht="13">
      <c r="H237" s="226"/>
    </row>
    <row r="238" spans="8:8" ht="13">
      <c r="H238" s="226"/>
    </row>
    <row r="239" spans="8:8" ht="13">
      <c r="H239" s="226"/>
    </row>
    <row r="240" spans="8:8" ht="13">
      <c r="H240" s="226"/>
    </row>
    <row r="241" spans="8:8" ht="13">
      <c r="H241" s="226"/>
    </row>
    <row r="242" spans="8:8" ht="13">
      <c r="H242" s="226"/>
    </row>
    <row r="243" spans="8:8" ht="13">
      <c r="H243" s="226"/>
    </row>
    <row r="244" spans="8:8" ht="13">
      <c r="H244" s="226"/>
    </row>
    <row r="245" spans="8:8" ht="13">
      <c r="H245" s="226"/>
    </row>
    <row r="246" spans="8:8" ht="13">
      <c r="H246" s="226"/>
    </row>
    <row r="247" spans="8:8" ht="13">
      <c r="H247" s="226"/>
    </row>
    <row r="248" spans="8:8" ht="13">
      <c r="H248" s="226"/>
    </row>
    <row r="249" spans="8:8" ht="13">
      <c r="H249" s="226"/>
    </row>
    <row r="250" spans="8:8" ht="13">
      <c r="H250" s="226"/>
    </row>
    <row r="251" spans="8:8" ht="13">
      <c r="H251" s="226"/>
    </row>
    <row r="252" spans="8:8" ht="13">
      <c r="H252" s="226"/>
    </row>
    <row r="253" spans="8:8" ht="13">
      <c r="H253" s="226"/>
    </row>
    <row r="254" spans="8:8" ht="13">
      <c r="H254" s="226"/>
    </row>
    <row r="255" spans="8:8" ht="13">
      <c r="H255" s="226"/>
    </row>
    <row r="256" spans="8:8" ht="13">
      <c r="H256" s="226"/>
    </row>
    <row r="257" spans="8:8" ht="13">
      <c r="H257" s="226"/>
    </row>
    <row r="258" spans="8:8" ht="13">
      <c r="H258" s="226"/>
    </row>
    <row r="259" spans="8:8" ht="13">
      <c r="H259" s="226"/>
    </row>
    <row r="260" spans="8:8" ht="13">
      <c r="H260" s="226"/>
    </row>
    <row r="261" spans="8:8" ht="13">
      <c r="H261" s="226"/>
    </row>
    <row r="262" spans="8:8" ht="13">
      <c r="H262" s="226"/>
    </row>
    <row r="263" spans="8:8" ht="13">
      <c r="H263" s="226"/>
    </row>
    <row r="264" spans="8:8" ht="13">
      <c r="H264" s="226"/>
    </row>
    <row r="265" spans="8:8" ht="13">
      <c r="H265" s="226"/>
    </row>
    <row r="266" spans="8:8" ht="13">
      <c r="H266" s="226"/>
    </row>
    <row r="267" spans="8:8" ht="13">
      <c r="H267" s="226"/>
    </row>
    <row r="268" spans="8:8" ht="13">
      <c r="H268" s="226"/>
    </row>
    <row r="269" spans="8:8" ht="13">
      <c r="H269" s="226"/>
    </row>
    <row r="270" spans="8:8" ht="13">
      <c r="H270" s="226"/>
    </row>
    <row r="271" spans="8:8" ht="13">
      <c r="H271" s="226"/>
    </row>
    <row r="272" spans="8:8" ht="13">
      <c r="H272" s="226"/>
    </row>
    <row r="273" spans="8:8" ht="13">
      <c r="H273" s="226"/>
    </row>
    <row r="274" spans="8:8" ht="13">
      <c r="H274" s="226"/>
    </row>
    <row r="275" spans="8:8" ht="13">
      <c r="H275" s="226"/>
    </row>
    <row r="276" spans="8:8" ht="13">
      <c r="H276" s="226"/>
    </row>
    <row r="277" spans="8:8" ht="13">
      <c r="H277" s="226"/>
    </row>
    <row r="278" spans="8:8" ht="13">
      <c r="H278" s="226"/>
    </row>
    <row r="279" spans="8:8" ht="13">
      <c r="H279" s="226"/>
    </row>
    <row r="280" spans="8:8" ht="13">
      <c r="H280" s="226"/>
    </row>
    <row r="281" spans="8:8" ht="13">
      <c r="H281" s="226"/>
    </row>
    <row r="282" spans="8:8" ht="13">
      <c r="H282" s="226"/>
    </row>
    <row r="283" spans="8:8" ht="13">
      <c r="H283" s="226"/>
    </row>
    <row r="284" spans="8:8" ht="13">
      <c r="H284" s="226"/>
    </row>
    <row r="285" spans="8:8" ht="13">
      <c r="H285" s="226"/>
    </row>
    <row r="286" spans="8:8" ht="13">
      <c r="H286" s="226"/>
    </row>
    <row r="287" spans="8:8" ht="13">
      <c r="H287" s="226"/>
    </row>
    <row r="288" spans="8:8" ht="13">
      <c r="H288" s="226"/>
    </row>
    <row r="289" spans="8:8" ht="13">
      <c r="H289" s="226"/>
    </row>
    <row r="290" spans="8:8" ht="13">
      <c r="H290" s="226"/>
    </row>
    <row r="291" spans="8:8" ht="13">
      <c r="H291" s="226"/>
    </row>
    <row r="292" spans="8:8" ht="13">
      <c r="H292" s="226"/>
    </row>
    <row r="293" spans="8:8" ht="13">
      <c r="H293" s="226"/>
    </row>
    <row r="294" spans="8:8" ht="13">
      <c r="H294" s="226"/>
    </row>
    <row r="295" spans="8:8" ht="13">
      <c r="H295" s="226"/>
    </row>
    <row r="296" spans="8:8" ht="13">
      <c r="H296" s="226"/>
    </row>
    <row r="297" spans="8:8" ht="13">
      <c r="H297" s="226"/>
    </row>
    <row r="298" spans="8:8" ht="13">
      <c r="H298" s="226"/>
    </row>
    <row r="299" spans="8:8" ht="13">
      <c r="H299" s="226"/>
    </row>
    <row r="300" spans="8:8" ht="13">
      <c r="H300" s="226"/>
    </row>
    <row r="301" spans="8:8" ht="13">
      <c r="H301" s="226"/>
    </row>
    <row r="302" spans="8:8" ht="13">
      <c r="H302" s="226"/>
    </row>
    <row r="303" spans="8:8" ht="13">
      <c r="H303" s="226"/>
    </row>
    <row r="304" spans="8:8" ht="13">
      <c r="H304" s="226"/>
    </row>
    <row r="305" spans="8:8" ht="13">
      <c r="H305" s="226"/>
    </row>
    <row r="306" spans="8:8" ht="13">
      <c r="H306" s="226"/>
    </row>
    <row r="307" spans="8:8" ht="13">
      <c r="H307" s="226"/>
    </row>
    <row r="308" spans="8:8" ht="13">
      <c r="H308" s="226"/>
    </row>
    <row r="309" spans="8:8" ht="13">
      <c r="H309" s="226"/>
    </row>
    <row r="310" spans="8:8" ht="13">
      <c r="H310" s="226"/>
    </row>
    <row r="311" spans="8:8" ht="13">
      <c r="H311" s="226"/>
    </row>
    <row r="312" spans="8:8" ht="13">
      <c r="H312" s="226"/>
    </row>
    <row r="313" spans="8:8" ht="13">
      <c r="H313" s="226"/>
    </row>
    <row r="314" spans="8:8" ht="13">
      <c r="H314" s="226"/>
    </row>
    <row r="315" spans="8:8" ht="13">
      <c r="H315" s="226"/>
    </row>
    <row r="316" spans="8:8" ht="13">
      <c r="H316" s="226"/>
    </row>
    <row r="317" spans="8:8" ht="13">
      <c r="H317" s="226"/>
    </row>
    <row r="318" spans="8:8" ht="13">
      <c r="H318" s="226"/>
    </row>
    <row r="319" spans="8:8" ht="13">
      <c r="H319" s="226"/>
    </row>
    <row r="320" spans="8:8" ht="13">
      <c r="H320" s="226"/>
    </row>
    <row r="321" spans="8:8" ht="13">
      <c r="H321" s="226"/>
    </row>
    <row r="322" spans="8:8" ht="13">
      <c r="H322" s="226"/>
    </row>
    <row r="323" spans="8:8" ht="13">
      <c r="H323" s="226"/>
    </row>
    <row r="324" spans="8:8" ht="13">
      <c r="H324" s="226"/>
    </row>
    <row r="325" spans="8:8" ht="13">
      <c r="H325" s="226"/>
    </row>
    <row r="326" spans="8:8" ht="13">
      <c r="H326" s="226"/>
    </row>
    <row r="327" spans="8:8" ht="13">
      <c r="H327" s="226"/>
    </row>
    <row r="328" spans="8:8" ht="13">
      <c r="H328" s="226"/>
    </row>
    <row r="329" spans="8:8" ht="13">
      <c r="H329" s="226"/>
    </row>
    <row r="330" spans="8:8" ht="13">
      <c r="H330" s="226"/>
    </row>
    <row r="331" spans="8:8" ht="13">
      <c r="H331" s="226"/>
    </row>
    <row r="332" spans="8:8" ht="13">
      <c r="H332" s="226"/>
    </row>
    <row r="333" spans="8:8" ht="13">
      <c r="H333" s="226"/>
    </row>
    <row r="334" spans="8:8" ht="13">
      <c r="H334" s="226"/>
    </row>
    <row r="335" spans="8:8" ht="13">
      <c r="H335" s="226"/>
    </row>
    <row r="336" spans="8:8" ht="13">
      <c r="H336" s="226"/>
    </row>
    <row r="337" spans="8:8" ht="13">
      <c r="H337" s="226"/>
    </row>
    <row r="338" spans="8:8" ht="13">
      <c r="H338" s="226"/>
    </row>
    <row r="339" spans="8:8" ht="13">
      <c r="H339" s="226"/>
    </row>
    <row r="340" spans="8:8" ht="13">
      <c r="H340" s="226"/>
    </row>
    <row r="341" spans="8:8" ht="13">
      <c r="H341" s="226"/>
    </row>
    <row r="342" spans="8:8" ht="13">
      <c r="H342" s="226"/>
    </row>
    <row r="343" spans="8:8" ht="13">
      <c r="H343" s="226"/>
    </row>
    <row r="344" spans="8:8" ht="13">
      <c r="H344" s="226"/>
    </row>
    <row r="345" spans="8:8" ht="13">
      <c r="H345" s="226"/>
    </row>
    <row r="346" spans="8:8" ht="13">
      <c r="H346" s="226"/>
    </row>
    <row r="347" spans="8:8" ht="13">
      <c r="H347" s="226"/>
    </row>
    <row r="348" spans="8:8" ht="13">
      <c r="H348" s="226"/>
    </row>
    <row r="349" spans="8:8" ht="13">
      <c r="H349" s="226"/>
    </row>
    <row r="350" spans="8:8" ht="13">
      <c r="H350" s="226"/>
    </row>
    <row r="351" spans="8:8" ht="13">
      <c r="H351" s="226"/>
    </row>
    <row r="352" spans="8:8" ht="13">
      <c r="H352" s="226"/>
    </row>
    <row r="353" spans="8:8" ht="13">
      <c r="H353" s="226"/>
    </row>
    <row r="354" spans="8:8" ht="13">
      <c r="H354" s="226"/>
    </row>
    <row r="355" spans="8:8" ht="13">
      <c r="H355" s="226"/>
    </row>
    <row r="356" spans="8:8" ht="13">
      <c r="H356" s="226"/>
    </row>
    <row r="357" spans="8:8" ht="13">
      <c r="H357" s="226"/>
    </row>
    <row r="358" spans="8:8" ht="13">
      <c r="H358" s="226"/>
    </row>
    <row r="359" spans="8:8" ht="13">
      <c r="H359" s="226"/>
    </row>
    <row r="360" spans="8:8" ht="13">
      <c r="H360" s="226"/>
    </row>
    <row r="361" spans="8:8" ht="13">
      <c r="H361" s="226"/>
    </row>
    <row r="362" spans="8:8" ht="13">
      <c r="H362" s="226"/>
    </row>
    <row r="363" spans="8:8" ht="13">
      <c r="H363" s="226"/>
    </row>
    <row r="364" spans="8:8" ht="13">
      <c r="H364" s="226"/>
    </row>
    <row r="365" spans="8:8" ht="13">
      <c r="H365" s="226"/>
    </row>
    <row r="366" spans="8:8" ht="13">
      <c r="H366" s="226"/>
    </row>
    <row r="367" spans="8:8" ht="13">
      <c r="H367" s="226"/>
    </row>
    <row r="368" spans="8:8" ht="13">
      <c r="H368" s="226"/>
    </row>
    <row r="369" spans="8:8" ht="13">
      <c r="H369" s="226"/>
    </row>
    <row r="370" spans="8:8" ht="13">
      <c r="H370" s="226"/>
    </row>
    <row r="371" spans="8:8" ht="13">
      <c r="H371" s="226"/>
    </row>
    <row r="372" spans="8:8" ht="13">
      <c r="H372" s="226"/>
    </row>
    <row r="373" spans="8:8" ht="13">
      <c r="H373" s="226"/>
    </row>
    <row r="374" spans="8:8" ht="13">
      <c r="H374" s="226"/>
    </row>
    <row r="375" spans="8:8" ht="13">
      <c r="H375" s="226"/>
    </row>
    <row r="376" spans="8:8" ht="13">
      <c r="H376" s="226"/>
    </row>
    <row r="377" spans="8:8" ht="13">
      <c r="H377" s="226"/>
    </row>
    <row r="378" spans="8:8" ht="13">
      <c r="H378" s="226"/>
    </row>
    <row r="379" spans="8:8" ht="13">
      <c r="H379" s="226"/>
    </row>
    <row r="380" spans="8:8" ht="13">
      <c r="H380" s="226"/>
    </row>
    <row r="381" spans="8:8" ht="13">
      <c r="H381" s="226"/>
    </row>
    <row r="382" spans="8:8" ht="13">
      <c r="H382" s="226"/>
    </row>
    <row r="383" spans="8:8" ht="13">
      <c r="H383" s="226"/>
    </row>
    <row r="384" spans="8:8" ht="13">
      <c r="H384" s="226"/>
    </row>
    <row r="385" spans="8:8" ht="13">
      <c r="H385" s="226"/>
    </row>
    <row r="386" spans="8:8" ht="13">
      <c r="H386" s="226"/>
    </row>
    <row r="387" spans="8:8" ht="13">
      <c r="H387" s="226"/>
    </row>
    <row r="388" spans="8:8" ht="13">
      <c r="H388" s="226"/>
    </row>
    <row r="389" spans="8:8" ht="13">
      <c r="H389" s="226"/>
    </row>
    <row r="390" spans="8:8" ht="13">
      <c r="H390" s="226"/>
    </row>
    <row r="391" spans="8:8" ht="13">
      <c r="H391" s="226"/>
    </row>
    <row r="392" spans="8:8" ht="13">
      <c r="H392" s="226"/>
    </row>
    <row r="393" spans="8:8" ht="13">
      <c r="H393" s="226"/>
    </row>
    <row r="394" spans="8:8" ht="13">
      <c r="H394" s="226"/>
    </row>
    <row r="395" spans="8:8" ht="13">
      <c r="H395" s="226"/>
    </row>
    <row r="396" spans="8:8" ht="13">
      <c r="H396" s="226"/>
    </row>
    <row r="397" spans="8:8" ht="13">
      <c r="H397" s="226"/>
    </row>
    <row r="398" spans="8:8" ht="13">
      <c r="H398" s="226"/>
    </row>
    <row r="399" spans="8:8" ht="13">
      <c r="H399" s="226"/>
    </row>
    <row r="400" spans="8:8" ht="13">
      <c r="H400" s="226"/>
    </row>
    <row r="401" spans="8:8" ht="13">
      <c r="H401" s="226"/>
    </row>
    <row r="402" spans="8:8" ht="13">
      <c r="H402" s="226"/>
    </row>
    <row r="403" spans="8:8" ht="13">
      <c r="H403" s="226"/>
    </row>
    <row r="404" spans="8:8" ht="13">
      <c r="H404" s="226"/>
    </row>
    <row r="405" spans="8:8" ht="13">
      <c r="H405" s="226"/>
    </row>
    <row r="406" spans="8:8" ht="13">
      <c r="H406" s="226"/>
    </row>
    <row r="407" spans="8:8" ht="13">
      <c r="H407" s="226"/>
    </row>
    <row r="408" spans="8:8" ht="13">
      <c r="H408" s="226"/>
    </row>
    <row r="409" spans="8:8" ht="13">
      <c r="H409" s="226"/>
    </row>
    <row r="410" spans="8:8" ht="13">
      <c r="H410" s="226"/>
    </row>
    <row r="411" spans="8:8" ht="13">
      <c r="H411" s="226"/>
    </row>
    <row r="412" spans="8:8" ht="13">
      <c r="H412" s="226"/>
    </row>
    <row r="413" spans="8:8" ht="13">
      <c r="H413" s="226"/>
    </row>
    <row r="414" spans="8:8" ht="13">
      <c r="H414" s="226"/>
    </row>
    <row r="415" spans="8:8" ht="13">
      <c r="H415" s="226"/>
    </row>
    <row r="416" spans="8:8" ht="13">
      <c r="H416" s="226"/>
    </row>
    <row r="417" spans="8:8" ht="13">
      <c r="H417" s="226"/>
    </row>
    <row r="418" spans="8:8" ht="13">
      <c r="H418" s="226"/>
    </row>
    <row r="419" spans="8:8" ht="13">
      <c r="H419" s="226"/>
    </row>
    <row r="420" spans="8:8" ht="13">
      <c r="H420" s="226"/>
    </row>
    <row r="421" spans="8:8" ht="13">
      <c r="H421" s="226"/>
    </row>
    <row r="422" spans="8:8" ht="13">
      <c r="H422" s="226"/>
    </row>
    <row r="423" spans="8:8" ht="13">
      <c r="H423" s="226"/>
    </row>
    <row r="424" spans="8:8" ht="13">
      <c r="H424" s="226"/>
    </row>
    <row r="425" spans="8:8" ht="13">
      <c r="H425" s="226"/>
    </row>
    <row r="426" spans="8:8" ht="13">
      <c r="H426" s="226"/>
    </row>
    <row r="427" spans="8:8" ht="13">
      <c r="H427" s="226"/>
    </row>
    <row r="428" spans="8:8" ht="13">
      <c r="H428" s="226"/>
    </row>
    <row r="429" spans="8:8" ht="13">
      <c r="H429" s="226"/>
    </row>
    <row r="430" spans="8:8" ht="13">
      <c r="H430" s="226"/>
    </row>
    <row r="431" spans="8:8" ht="13">
      <c r="H431" s="226"/>
    </row>
    <row r="432" spans="8:8" ht="13">
      <c r="H432" s="226"/>
    </row>
    <row r="433" spans="8:8" ht="13">
      <c r="H433" s="226"/>
    </row>
    <row r="434" spans="8:8" ht="13">
      <c r="H434" s="226"/>
    </row>
    <row r="435" spans="8:8" ht="13">
      <c r="H435" s="226"/>
    </row>
    <row r="436" spans="8:8" ht="13">
      <c r="H436" s="226"/>
    </row>
    <row r="437" spans="8:8" ht="13">
      <c r="H437" s="226"/>
    </row>
    <row r="438" spans="8:8" ht="13">
      <c r="H438" s="226"/>
    </row>
    <row r="439" spans="8:8" ht="13">
      <c r="H439" s="226"/>
    </row>
    <row r="440" spans="8:8" ht="13">
      <c r="H440" s="226"/>
    </row>
    <row r="441" spans="8:8" ht="13">
      <c r="H441" s="226"/>
    </row>
    <row r="442" spans="8:8" ht="13">
      <c r="H442" s="226"/>
    </row>
    <row r="443" spans="8:8" ht="13">
      <c r="H443" s="226"/>
    </row>
    <row r="444" spans="8:8" ht="13">
      <c r="H444" s="226"/>
    </row>
    <row r="445" spans="8:8" ht="13">
      <c r="H445" s="226"/>
    </row>
    <row r="446" spans="8:8" ht="13">
      <c r="H446" s="226"/>
    </row>
    <row r="447" spans="8:8" ht="13">
      <c r="H447" s="226"/>
    </row>
    <row r="448" spans="8:8" ht="13">
      <c r="H448" s="226"/>
    </row>
    <row r="449" spans="8:8" ht="13">
      <c r="H449" s="226"/>
    </row>
    <row r="450" spans="8:8" ht="13">
      <c r="H450" s="226"/>
    </row>
    <row r="451" spans="8:8" ht="13">
      <c r="H451" s="226"/>
    </row>
    <row r="452" spans="8:8" ht="13">
      <c r="H452" s="226"/>
    </row>
    <row r="453" spans="8:8" ht="13">
      <c r="H453" s="226"/>
    </row>
    <row r="454" spans="8:8" ht="13">
      <c r="H454" s="226"/>
    </row>
    <row r="455" spans="8:8" ht="13">
      <c r="H455" s="226"/>
    </row>
    <row r="456" spans="8:8" ht="13">
      <c r="H456" s="226"/>
    </row>
    <row r="457" spans="8:8" ht="13">
      <c r="H457" s="226"/>
    </row>
    <row r="458" spans="8:8" ht="13">
      <c r="H458" s="226"/>
    </row>
    <row r="459" spans="8:8" ht="13">
      <c r="H459" s="226"/>
    </row>
    <row r="460" spans="8:8" ht="13">
      <c r="H460" s="226"/>
    </row>
    <row r="461" spans="8:8" ht="13">
      <c r="H461" s="226"/>
    </row>
    <row r="462" spans="8:8" ht="13">
      <c r="H462" s="226"/>
    </row>
    <row r="463" spans="8:8" ht="13">
      <c r="H463" s="226"/>
    </row>
    <row r="464" spans="8:8" ht="13">
      <c r="H464" s="226"/>
    </row>
    <row r="465" spans="8:8" ht="13">
      <c r="H465" s="226"/>
    </row>
    <row r="466" spans="8:8" ht="13">
      <c r="H466" s="226"/>
    </row>
    <row r="467" spans="8:8" ht="13">
      <c r="H467" s="226"/>
    </row>
    <row r="468" spans="8:8" ht="13">
      <c r="H468" s="226"/>
    </row>
    <row r="469" spans="8:8" ht="13">
      <c r="H469" s="226"/>
    </row>
    <row r="470" spans="8:8" ht="13">
      <c r="H470" s="226"/>
    </row>
    <row r="471" spans="8:8" ht="13">
      <c r="H471" s="226"/>
    </row>
    <row r="472" spans="8:8" ht="13">
      <c r="H472" s="226"/>
    </row>
    <row r="473" spans="8:8" ht="13">
      <c r="H473" s="226"/>
    </row>
    <row r="474" spans="8:8" ht="13">
      <c r="H474" s="226"/>
    </row>
    <row r="475" spans="8:8" ht="13">
      <c r="H475" s="226"/>
    </row>
    <row r="476" spans="8:8" ht="13">
      <c r="H476" s="226"/>
    </row>
    <row r="477" spans="8:8" ht="13">
      <c r="H477" s="226"/>
    </row>
    <row r="478" spans="8:8" ht="13">
      <c r="H478" s="226"/>
    </row>
    <row r="479" spans="8:8" ht="13">
      <c r="H479" s="226"/>
    </row>
    <row r="480" spans="8:8" ht="13">
      <c r="H480" s="226"/>
    </row>
    <row r="481" spans="8:8" ht="13">
      <c r="H481" s="226"/>
    </row>
    <row r="482" spans="8:8" ht="13">
      <c r="H482" s="226"/>
    </row>
    <row r="483" spans="8:8" ht="13">
      <c r="H483" s="226"/>
    </row>
    <row r="484" spans="8:8" ht="13">
      <c r="H484" s="226"/>
    </row>
    <row r="485" spans="8:8" ht="13">
      <c r="H485" s="226"/>
    </row>
    <row r="486" spans="8:8" ht="13">
      <c r="H486" s="226"/>
    </row>
    <row r="487" spans="8:8" ht="13">
      <c r="H487" s="226"/>
    </row>
    <row r="488" spans="8:8" ht="13">
      <c r="H488" s="226"/>
    </row>
    <row r="489" spans="8:8" ht="13">
      <c r="H489" s="226"/>
    </row>
    <row r="490" spans="8:8" ht="13">
      <c r="H490" s="226"/>
    </row>
    <row r="491" spans="8:8" ht="13">
      <c r="H491" s="226"/>
    </row>
    <row r="492" spans="8:8" ht="13">
      <c r="H492" s="226"/>
    </row>
    <row r="493" spans="8:8" ht="13">
      <c r="H493" s="226"/>
    </row>
    <row r="494" spans="8:8" ht="13">
      <c r="H494" s="226"/>
    </row>
    <row r="495" spans="8:8" ht="13">
      <c r="H495" s="226"/>
    </row>
    <row r="496" spans="8:8" ht="13">
      <c r="H496" s="226"/>
    </row>
    <row r="497" spans="8:8" ht="13">
      <c r="H497" s="226"/>
    </row>
    <row r="498" spans="8:8" ht="13">
      <c r="H498" s="226"/>
    </row>
    <row r="499" spans="8:8" ht="13">
      <c r="H499" s="226"/>
    </row>
    <row r="500" spans="8:8" ht="13">
      <c r="H500" s="226"/>
    </row>
    <row r="501" spans="8:8" ht="13">
      <c r="H501" s="226"/>
    </row>
    <row r="502" spans="8:8" ht="13">
      <c r="H502" s="226"/>
    </row>
    <row r="503" spans="8:8" ht="13">
      <c r="H503" s="226"/>
    </row>
    <row r="504" spans="8:8" ht="13">
      <c r="H504" s="226"/>
    </row>
    <row r="505" spans="8:8" ht="13">
      <c r="H505" s="226"/>
    </row>
    <row r="506" spans="8:8" ht="13">
      <c r="H506" s="226"/>
    </row>
    <row r="507" spans="8:8" ht="13">
      <c r="H507" s="226"/>
    </row>
    <row r="508" spans="8:8" ht="13">
      <c r="H508" s="226"/>
    </row>
    <row r="509" spans="8:8" ht="13">
      <c r="H509" s="226"/>
    </row>
    <row r="510" spans="8:8" ht="13">
      <c r="H510" s="226"/>
    </row>
    <row r="511" spans="8:8" ht="13">
      <c r="H511" s="226"/>
    </row>
    <row r="512" spans="8:8" ht="13">
      <c r="H512" s="226"/>
    </row>
    <row r="513" spans="8:8" ht="13">
      <c r="H513" s="226"/>
    </row>
    <row r="514" spans="8:8" ht="13">
      <c r="H514" s="226"/>
    </row>
    <row r="515" spans="8:8" ht="13">
      <c r="H515" s="226"/>
    </row>
    <row r="516" spans="8:8" ht="13">
      <c r="H516" s="226"/>
    </row>
    <row r="517" spans="8:8" ht="13">
      <c r="H517" s="226"/>
    </row>
    <row r="518" spans="8:8" ht="13">
      <c r="H518" s="226"/>
    </row>
    <row r="519" spans="8:8" ht="13">
      <c r="H519" s="226"/>
    </row>
    <row r="520" spans="8:8" ht="13">
      <c r="H520" s="226"/>
    </row>
    <row r="521" spans="8:8" ht="13">
      <c r="H521" s="226"/>
    </row>
    <row r="522" spans="8:8" ht="13">
      <c r="H522" s="226"/>
    </row>
    <row r="523" spans="8:8" ht="13">
      <c r="H523" s="226"/>
    </row>
    <row r="524" spans="8:8" ht="13">
      <c r="H524" s="226"/>
    </row>
    <row r="525" spans="8:8" ht="13">
      <c r="H525" s="226"/>
    </row>
    <row r="526" spans="8:8" ht="13">
      <c r="H526" s="226"/>
    </row>
    <row r="527" spans="8:8" ht="13">
      <c r="H527" s="226"/>
    </row>
    <row r="528" spans="8:8" ht="13">
      <c r="H528" s="226"/>
    </row>
    <row r="529" spans="8:8" ht="13">
      <c r="H529" s="226"/>
    </row>
    <row r="530" spans="8:8" ht="13">
      <c r="H530" s="226"/>
    </row>
    <row r="531" spans="8:8" ht="13">
      <c r="H531" s="226"/>
    </row>
    <row r="532" spans="8:8" ht="13">
      <c r="H532" s="226"/>
    </row>
    <row r="533" spans="8:8" ht="13">
      <c r="H533" s="226"/>
    </row>
    <row r="534" spans="8:8" ht="13">
      <c r="H534" s="226"/>
    </row>
    <row r="535" spans="8:8" ht="13">
      <c r="H535" s="226"/>
    </row>
    <row r="536" spans="8:8" ht="13">
      <c r="H536" s="226"/>
    </row>
    <row r="537" spans="8:8" ht="13">
      <c r="H537" s="226"/>
    </row>
    <row r="538" spans="8:8" ht="13">
      <c r="H538" s="226"/>
    </row>
    <row r="539" spans="8:8" ht="13">
      <c r="H539" s="226"/>
    </row>
    <row r="540" spans="8:8" ht="13">
      <c r="H540" s="226"/>
    </row>
    <row r="541" spans="8:8" ht="13">
      <c r="H541" s="226"/>
    </row>
    <row r="542" spans="8:8" ht="13">
      <c r="H542" s="226"/>
    </row>
    <row r="543" spans="8:8" ht="13">
      <c r="H543" s="226"/>
    </row>
    <row r="544" spans="8:8" ht="13">
      <c r="H544" s="226"/>
    </row>
    <row r="545" spans="8:8" ht="13">
      <c r="H545" s="226"/>
    </row>
    <row r="546" spans="8:8" ht="13">
      <c r="H546" s="226"/>
    </row>
    <row r="547" spans="8:8" ht="13">
      <c r="H547" s="226"/>
    </row>
    <row r="548" spans="8:8" ht="13">
      <c r="H548" s="226"/>
    </row>
    <row r="549" spans="8:8" ht="13">
      <c r="H549" s="226"/>
    </row>
    <row r="550" spans="8:8" ht="13">
      <c r="H550" s="226"/>
    </row>
    <row r="551" spans="8:8" ht="13">
      <c r="H551" s="226"/>
    </row>
    <row r="552" spans="8:8" ht="13">
      <c r="H552" s="226"/>
    </row>
    <row r="553" spans="8:8" ht="13">
      <c r="H553" s="226"/>
    </row>
    <row r="554" spans="8:8" ht="13">
      <c r="H554" s="226"/>
    </row>
    <row r="555" spans="8:8" ht="13">
      <c r="H555" s="226"/>
    </row>
    <row r="556" spans="8:8" ht="13">
      <c r="H556" s="226"/>
    </row>
    <row r="557" spans="8:8" ht="13">
      <c r="H557" s="226"/>
    </row>
    <row r="558" spans="8:8" ht="13">
      <c r="H558" s="226"/>
    </row>
    <row r="559" spans="8:8" ht="13">
      <c r="H559" s="226"/>
    </row>
    <row r="560" spans="8:8" ht="13">
      <c r="H560" s="226"/>
    </row>
    <row r="561" spans="8:8" ht="13">
      <c r="H561" s="226"/>
    </row>
    <row r="562" spans="8:8" ht="13">
      <c r="H562" s="226"/>
    </row>
    <row r="563" spans="8:8" ht="13">
      <c r="H563" s="226"/>
    </row>
    <row r="564" spans="8:8" ht="13">
      <c r="H564" s="226"/>
    </row>
    <row r="565" spans="8:8" ht="13">
      <c r="H565" s="226"/>
    </row>
    <row r="566" spans="8:8" ht="13">
      <c r="H566" s="226"/>
    </row>
    <row r="567" spans="8:8" ht="13">
      <c r="H567" s="226"/>
    </row>
    <row r="568" spans="8:8" ht="13">
      <c r="H568" s="226"/>
    </row>
    <row r="569" spans="8:8" ht="13">
      <c r="H569" s="226"/>
    </row>
    <row r="570" spans="8:8" ht="13">
      <c r="H570" s="226"/>
    </row>
    <row r="571" spans="8:8" ht="13">
      <c r="H571" s="226"/>
    </row>
    <row r="572" spans="8:8" ht="13">
      <c r="H572" s="226"/>
    </row>
    <row r="573" spans="8:8" ht="13">
      <c r="H573" s="226"/>
    </row>
    <row r="574" spans="8:8" ht="13">
      <c r="H574" s="226"/>
    </row>
    <row r="575" spans="8:8" ht="13">
      <c r="H575" s="226"/>
    </row>
    <row r="576" spans="8:8" ht="13">
      <c r="H576" s="226"/>
    </row>
    <row r="577" spans="8:8" ht="13">
      <c r="H577" s="226"/>
    </row>
    <row r="578" spans="8:8" ht="13">
      <c r="H578" s="226"/>
    </row>
    <row r="579" spans="8:8" ht="13">
      <c r="H579" s="226"/>
    </row>
    <row r="580" spans="8:8" ht="13">
      <c r="H580" s="226"/>
    </row>
    <row r="581" spans="8:8" ht="13">
      <c r="H581" s="226"/>
    </row>
    <row r="582" spans="8:8" ht="13">
      <c r="H582" s="226"/>
    </row>
    <row r="583" spans="8:8" ht="13">
      <c r="H583" s="226"/>
    </row>
    <row r="584" spans="8:8" ht="13">
      <c r="H584" s="226"/>
    </row>
    <row r="585" spans="8:8" ht="13">
      <c r="H585" s="226"/>
    </row>
    <row r="586" spans="8:8" ht="13">
      <c r="H586" s="226"/>
    </row>
    <row r="587" spans="8:8" ht="13">
      <c r="H587" s="226"/>
    </row>
    <row r="588" spans="8:8" ht="13">
      <c r="H588" s="226"/>
    </row>
    <row r="589" spans="8:8" ht="13">
      <c r="H589" s="226"/>
    </row>
    <row r="590" spans="8:8" ht="13">
      <c r="H590" s="226"/>
    </row>
    <row r="591" spans="8:8" ht="13">
      <c r="H591" s="226"/>
    </row>
    <row r="592" spans="8:8" ht="13">
      <c r="H592" s="226"/>
    </row>
    <row r="593" spans="8:8" ht="13">
      <c r="H593" s="226"/>
    </row>
    <row r="594" spans="8:8" ht="13">
      <c r="H594" s="226"/>
    </row>
    <row r="595" spans="8:8" ht="13">
      <c r="H595" s="226"/>
    </row>
    <row r="596" spans="8:8" ht="13">
      <c r="H596" s="226"/>
    </row>
    <row r="597" spans="8:8" ht="13">
      <c r="H597" s="226"/>
    </row>
    <row r="598" spans="8:8" ht="13">
      <c r="H598" s="226"/>
    </row>
    <row r="599" spans="8:8" ht="13">
      <c r="H599" s="226"/>
    </row>
    <row r="600" spans="8:8" ht="13">
      <c r="H600" s="226"/>
    </row>
    <row r="601" spans="8:8" ht="13">
      <c r="H601" s="226"/>
    </row>
    <row r="602" spans="8:8" ht="13">
      <c r="H602" s="226"/>
    </row>
    <row r="603" spans="8:8" ht="13">
      <c r="H603" s="226"/>
    </row>
    <row r="604" spans="8:8" ht="13">
      <c r="H604" s="226"/>
    </row>
    <row r="605" spans="8:8" ht="13">
      <c r="H605" s="226"/>
    </row>
    <row r="606" spans="8:8" ht="13">
      <c r="H606" s="226"/>
    </row>
    <row r="607" spans="8:8" ht="13">
      <c r="H607" s="226"/>
    </row>
    <row r="608" spans="8:8" ht="13">
      <c r="H608" s="226"/>
    </row>
    <row r="609" spans="8:8" ht="13">
      <c r="H609" s="226"/>
    </row>
    <row r="610" spans="8:8" ht="13">
      <c r="H610" s="226"/>
    </row>
    <row r="611" spans="8:8" ht="13">
      <c r="H611" s="226"/>
    </row>
    <row r="612" spans="8:8" ht="13">
      <c r="H612" s="226"/>
    </row>
    <row r="613" spans="8:8" ht="13">
      <c r="H613" s="226"/>
    </row>
    <row r="614" spans="8:8" ht="13">
      <c r="H614" s="226"/>
    </row>
    <row r="615" spans="8:8" ht="13">
      <c r="H615" s="226"/>
    </row>
    <row r="616" spans="8:8" ht="13">
      <c r="H616" s="226"/>
    </row>
    <row r="617" spans="8:8" ht="13">
      <c r="H617" s="226"/>
    </row>
    <row r="618" spans="8:8" ht="13">
      <c r="H618" s="226"/>
    </row>
    <row r="619" spans="8:8" ht="13">
      <c r="H619" s="226"/>
    </row>
    <row r="620" spans="8:8" ht="13">
      <c r="H620" s="226"/>
    </row>
    <row r="621" spans="8:8" ht="13">
      <c r="H621" s="226"/>
    </row>
    <row r="622" spans="8:8" ht="13">
      <c r="H622" s="226"/>
    </row>
    <row r="623" spans="8:8" ht="13">
      <c r="H623" s="226"/>
    </row>
    <row r="624" spans="8:8" ht="13">
      <c r="H624" s="226"/>
    </row>
    <row r="625" spans="8:8" ht="13">
      <c r="H625" s="226"/>
    </row>
    <row r="626" spans="8:8" ht="13">
      <c r="H626" s="226"/>
    </row>
    <row r="627" spans="8:8" ht="13">
      <c r="H627" s="226"/>
    </row>
    <row r="628" spans="8:8" ht="13">
      <c r="H628" s="226"/>
    </row>
    <row r="629" spans="8:8" ht="13">
      <c r="H629" s="226"/>
    </row>
    <row r="630" spans="8:8" ht="13">
      <c r="H630" s="226"/>
    </row>
    <row r="631" spans="8:8" ht="13">
      <c r="H631" s="226"/>
    </row>
    <row r="632" spans="8:8" ht="13">
      <c r="H632" s="226"/>
    </row>
    <row r="633" spans="8:8" ht="13">
      <c r="H633" s="226"/>
    </row>
    <row r="634" spans="8:8" ht="13">
      <c r="H634" s="226"/>
    </row>
    <row r="635" spans="8:8" ht="13">
      <c r="H635" s="226"/>
    </row>
    <row r="636" spans="8:8" ht="13">
      <c r="H636" s="226"/>
    </row>
    <row r="637" spans="8:8" ht="13">
      <c r="H637" s="226"/>
    </row>
    <row r="638" spans="8:8" ht="13">
      <c r="H638" s="226"/>
    </row>
    <row r="639" spans="8:8" ht="13">
      <c r="H639" s="226"/>
    </row>
    <row r="640" spans="8:8" ht="13">
      <c r="H640" s="226"/>
    </row>
    <row r="641" spans="8:8" ht="13">
      <c r="H641" s="226"/>
    </row>
    <row r="642" spans="8:8" ht="13">
      <c r="H642" s="226"/>
    </row>
    <row r="643" spans="8:8" ht="13">
      <c r="H643" s="226"/>
    </row>
    <row r="644" spans="8:8" ht="13">
      <c r="H644" s="226"/>
    </row>
    <row r="645" spans="8:8" ht="13">
      <c r="H645" s="226"/>
    </row>
    <row r="646" spans="8:8" ht="13">
      <c r="H646" s="226"/>
    </row>
    <row r="647" spans="8:8" ht="13">
      <c r="H647" s="226"/>
    </row>
    <row r="648" spans="8:8" ht="13">
      <c r="H648" s="226"/>
    </row>
    <row r="649" spans="8:8" ht="13">
      <c r="H649" s="226"/>
    </row>
    <row r="650" spans="8:8" ht="13">
      <c r="H650" s="226"/>
    </row>
    <row r="651" spans="8:8" ht="13">
      <c r="H651" s="226"/>
    </row>
    <row r="652" spans="8:8" ht="13">
      <c r="H652" s="226"/>
    </row>
    <row r="653" spans="8:8" ht="13">
      <c r="H653" s="226"/>
    </row>
    <row r="654" spans="8:8" ht="13">
      <c r="H654" s="226"/>
    </row>
    <row r="655" spans="8:8" ht="13">
      <c r="H655" s="226"/>
    </row>
    <row r="656" spans="8:8" ht="13">
      <c r="H656" s="226"/>
    </row>
    <row r="657" spans="8:8" ht="13">
      <c r="H657" s="226"/>
    </row>
    <row r="658" spans="8:8" ht="13">
      <c r="H658" s="226"/>
    </row>
    <row r="659" spans="8:8" ht="13">
      <c r="H659" s="226"/>
    </row>
    <row r="660" spans="8:8" ht="13">
      <c r="H660" s="226"/>
    </row>
    <row r="661" spans="8:8" ht="13">
      <c r="H661" s="226"/>
    </row>
    <row r="662" spans="8:8" ht="13">
      <c r="H662" s="226"/>
    </row>
    <row r="663" spans="8:8" ht="13">
      <c r="H663" s="226"/>
    </row>
    <row r="664" spans="8:8" ht="13">
      <c r="H664" s="226"/>
    </row>
    <row r="665" spans="8:8" ht="13">
      <c r="H665" s="226"/>
    </row>
    <row r="666" spans="8:8" ht="13">
      <c r="H666" s="226"/>
    </row>
    <row r="667" spans="8:8" ht="13">
      <c r="H667" s="226"/>
    </row>
    <row r="668" spans="8:8" ht="13">
      <c r="H668" s="226"/>
    </row>
    <row r="669" spans="8:8" ht="13">
      <c r="H669" s="226"/>
    </row>
    <row r="670" spans="8:8" ht="13">
      <c r="H670" s="226"/>
    </row>
    <row r="671" spans="8:8" ht="13">
      <c r="H671" s="226"/>
    </row>
    <row r="672" spans="8:8" ht="13">
      <c r="H672" s="226"/>
    </row>
    <row r="673" spans="8:8" ht="13">
      <c r="H673" s="226"/>
    </row>
    <row r="674" spans="8:8" ht="13">
      <c r="H674" s="226"/>
    </row>
    <row r="675" spans="8:8" ht="13">
      <c r="H675" s="226"/>
    </row>
    <row r="676" spans="8:8" ht="13">
      <c r="H676" s="226"/>
    </row>
    <row r="677" spans="8:8" ht="13">
      <c r="H677" s="226"/>
    </row>
    <row r="678" spans="8:8" ht="13">
      <c r="H678" s="226"/>
    </row>
    <row r="679" spans="8:8" ht="13">
      <c r="H679" s="226"/>
    </row>
    <row r="680" spans="8:8" ht="13">
      <c r="H680" s="226"/>
    </row>
    <row r="681" spans="8:8" ht="13">
      <c r="H681" s="226"/>
    </row>
    <row r="682" spans="8:8" ht="13">
      <c r="H682" s="226"/>
    </row>
    <row r="683" spans="8:8" ht="13">
      <c r="H683" s="226"/>
    </row>
    <row r="684" spans="8:8" ht="13">
      <c r="H684" s="226"/>
    </row>
    <row r="685" spans="8:8" ht="13">
      <c r="H685" s="226"/>
    </row>
    <row r="686" spans="8:8" ht="13">
      <c r="H686" s="226"/>
    </row>
    <row r="687" spans="8:8" ht="13">
      <c r="H687" s="226"/>
    </row>
    <row r="688" spans="8:8" ht="13">
      <c r="H688" s="226"/>
    </row>
    <row r="689" spans="8:8" ht="13">
      <c r="H689" s="226"/>
    </row>
    <row r="690" spans="8:8" ht="13">
      <c r="H690" s="226"/>
    </row>
    <row r="691" spans="8:8" ht="13">
      <c r="H691" s="226"/>
    </row>
    <row r="692" spans="8:8" ht="13">
      <c r="H692" s="226"/>
    </row>
    <row r="693" spans="8:8" ht="13">
      <c r="H693" s="226"/>
    </row>
    <row r="694" spans="8:8" ht="13">
      <c r="H694" s="226"/>
    </row>
    <row r="695" spans="8:8" ht="13">
      <c r="H695" s="226"/>
    </row>
    <row r="696" spans="8:8" ht="13">
      <c r="H696" s="226"/>
    </row>
    <row r="697" spans="8:8" ht="13">
      <c r="H697" s="226"/>
    </row>
    <row r="698" spans="8:8" ht="13">
      <c r="H698" s="226"/>
    </row>
    <row r="699" spans="8:8" ht="13">
      <c r="H699" s="226"/>
    </row>
    <row r="700" spans="8:8" ht="13">
      <c r="H700" s="226"/>
    </row>
    <row r="701" spans="8:8" ht="13">
      <c r="H701" s="226"/>
    </row>
    <row r="702" spans="8:8" ht="13">
      <c r="H702" s="226"/>
    </row>
    <row r="703" spans="8:8" ht="13">
      <c r="H703" s="226"/>
    </row>
    <row r="704" spans="8:8" ht="13">
      <c r="H704" s="226"/>
    </row>
    <row r="705" spans="8:8" ht="13">
      <c r="H705" s="226"/>
    </row>
    <row r="706" spans="8:8" ht="13">
      <c r="H706" s="226"/>
    </row>
    <row r="707" spans="8:8" ht="13">
      <c r="H707" s="226"/>
    </row>
    <row r="708" spans="8:8" ht="13">
      <c r="H708" s="226"/>
    </row>
    <row r="709" spans="8:8" ht="13">
      <c r="H709" s="226"/>
    </row>
    <row r="710" spans="8:8" ht="13">
      <c r="H710" s="226"/>
    </row>
    <row r="711" spans="8:8" ht="13">
      <c r="H711" s="226"/>
    </row>
    <row r="712" spans="8:8" ht="13">
      <c r="H712" s="226"/>
    </row>
    <row r="713" spans="8:8" ht="13">
      <c r="H713" s="226"/>
    </row>
    <row r="714" spans="8:8" ht="13">
      <c r="H714" s="226"/>
    </row>
    <row r="715" spans="8:8" ht="13">
      <c r="H715" s="226"/>
    </row>
    <row r="716" spans="8:8" ht="13">
      <c r="H716" s="226"/>
    </row>
    <row r="717" spans="8:8" ht="13">
      <c r="H717" s="226"/>
    </row>
    <row r="718" spans="8:8" ht="13">
      <c r="H718" s="226"/>
    </row>
    <row r="719" spans="8:8" ht="13">
      <c r="H719" s="226"/>
    </row>
    <row r="720" spans="8:8" ht="13">
      <c r="H720" s="226"/>
    </row>
    <row r="721" spans="8:8" ht="13">
      <c r="H721" s="226"/>
    </row>
    <row r="722" spans="8:8" ht="13">
      <c r="H722" s="226"/>
    </row>
    <row r="723" spans="8:8" ht="13">
      <c r="H723" s="226"/>
    </row>
    <row r="724" spans="8:8" ht="13">
      <c r="H724" s="226"/>
    </row>
    <row r="725" spans="8:8" ht="13">
      <c r="H725" s="226"/>
    </row>
    <row r="726" spans="8:8" ht="13">
      <c r="H726" s="226"/>
    </row>
    <row r="727" spans="8:8" ht="13">
      <c r="H727" s="226"/>
    </row>
    <row r="728" spans="8:8" ht="13">
      <c r="H728" s="226"/>
    </row>
    <row r="729" spans="8:8" ht="13">
      <c r="H729" s="226"/>
    </row>
    <row r="730" spans="8:8" ht="13">
      <c r="H730" s="226"/>
    </row>
    <row r="731" spans="8:8" ht="13">
      <c r="H731" s="226"/>
    </row>
    <row r="732" spans="8:8" ht="13">
      <c r="H732" s="226"/>
    </row>
    <row r="733" spans="8:8" ht="13">
      <c r="H733" s="226"/>
    </row>
    <row r="734" spans="8:8" ht="13">
      <c r="H734" s="226"/>
    </row>
    <row r="735" spans="8:8" ht="13">
      <c r="H735" s="226"/>
    </row>
    <row r="736" spans="8:8" ht="13">
      <c r="H736" s="226"/>
    </row>
    <row r="737" spans="8:8" ht="13">
      <c r="H737" s="226"/>
    </row>
    <row r="738" spans="8:8" ht="13">
      <c r="H738" s="226"/>
    </row>
    <row r="739" spans="8:8" ht="13">
      <c r="H739" s="226"/>
    </row>
    <row r="740" spans="8:8" ht="13">
      <c r="H740" s="226"/>
    </row>
    <row r="741" spans="8:8" ht="13">
      <c r="H741" s="226"/>
    </row>
    <row r="742" spans="8:8" ht="13">
      <c r="H742" s="226"/>
    </row>
    <row r="743" spans="8:8" ht="13">
      <c r="H743" s="226"/>
    </row>
    <row r="744" spans="8:8" ht="13">
      <c r="H744" s="226"/>
    </row>
    <row r="745" spans="8:8" ht="13">
      <c r="H745" s="226"/>
    </row>
    <row r="746" spans="8:8" ht="13">
      <c r="H746" s="226"/>
    </row>
    <row r="747" spans="8:8" ht="13">
      <c r="H747" s="226"/>
    </row>
    <row r="748" spans="8:8" ht="13">
      <c r="H748" s="226"/>
    </row>
    <row r="749" spans="8:8" ht="13">
      <c r="H749" s="226"/>
    </row>
    <row r="750" spans="8:8" ht="13">
      <c r="H750" s="226"/>
    </row>
    <row r="751" spans="8:8" ht="13">
      <c r="H751" s="226"/>
    </row>
    <row r="752" spans="8:8" ht="13">
      <c r="H752" s="226"/>
    </row>
    <row r="753" spans="8:8" ht="13">
      <c r="H753" s="226"/>
    </row>
    <row r="754" spans="8:8" ht="13">
      <c r="H754" s="226"/>
    </row>
    <row r="755" spans="8:8" ht="13">
      <c r="H755" s="226"/>
    </row>
    <row r="756" spans="8:8" ht="13">
      <c r="H756" s="226"/>
    </row>
    <row r="757" spans="8:8" ht="13">
      <c r="H757" s="226"/>
    </row>
    <row r="758" spans="8:8" ht="13">
      <c r="H758" s="226"/>
    </row>
    <row r="759" spans="8:8" ht="13">
      <c r="H759" s="226"/>
    </row>
    <row r="760" spans="8:8" ht="13">
      <c r="H760" s="226"/>
    </row>
    <row r="761" spans="8:8" ht="13">
      <c r="H761" s="226"/>
    </row>
    <row r="762" spans="8:8" ht="13">
      <c r="H762" s="226"/>
    </row>
    <row r="763" spans="8:8" ht="13">
      <c r="H763" s="226"/>
    </row>
    <row r="764" spans="8:8" ht="13">
      <c r="H764" s="226"/>
    </row>
    <row r="765" spans="8:8" ht="13">
      <c r="H765" s="226"/>
    </row>
    <row r="766" spans="8:8" ht="13">
      <c r="H766" s="226"/>
    </row>
    <row r="767" spans="8:8" ht="13">
      <c r="H767" s="226"/>
    </row>
    <row r="768" spans="8:8" ht="13">
      <c r="H768" s="226"/>
    </row>
    <row r="769" spans="8:8" ht="13">
      <c r="H769" s="226"/>
    </row>
    <row r="770" spans="8:8" ht="13">
      <c r="H770" s="226"/>
    </row>
    <row r="771" spans="8:8" ht="13">
      <c r="H771" s="226"/>
    </row>
    <row r="772" spans="8:8" ht="13">
      <c r="H772" s="226"/>
    </row>
    <row r="773" spans="8:8" ht="13">
      <c r="H773" s="226"/>
    </row>
    <row r="774" spans="8:8" ht="13">
      <c r="H774" s="226"/>
    </row>
    <row r="775" spans="8:8" ht="13">
      <c r="H775" s="226"/>
    </row>
    <row r="776" spans="8:8" ht="13">
      <c r="H776" s="226"/>
    </row>
    <row r="777" spans="8:8" ht="13">
      <c r="H777" s="226"/>
    </row>
    <row r="778" spans="8:8" ht="13">
      <c r="H778" s="226"/>
    </row>
    <row r="779" spans="8:8" ht="13">
      <c r="H779" s="226"/>
    </row>
    <row r="780" spans="8:8" ht="13">
      <c r="H780" s="226"/>
    </row>
    <row r="781" spans="8:8" ht="13">
      <c r="H781" s="226"/>
    </row>
    <row r="782" spans="8:8" ht="13">
      <c r="H782" s="226"/>
    </row>
    <row r="783" spans="8:8" ht="13">
      <c r="H783" s="226"/>
    </row>
    <row r="784" spans="8:8" ht="13">
      <c r="H784" s="226"/>
    </row>
    <row r="785" spans="8:8" ht="13">
      <c r="H785" s="226"/>
    </row>
    <row r="786" spans="8:8" ht="13">
      <c r="H786" s="226"/>
    </row>
    <row r="787" spans="8:8" ht="13">
      <c r="H787" s="226"/>
    </row>
    <row r="788" spans="8:8" ht="13">
      <c r="H788" s="226"/>
    </row>
    <row r="789" spans="8:8" ht="13">
      <c r="H789" s="226"/>
    </row>
    <row r="790" spans="8:8" ht="13">
      <c r="H790" s="226"/>
    </row>
    <row r="791" spans="8:8" ht="13">
      <c r="H791" s="226"/>
    </row>
    <row r="792" spans="8:8" ht="13">
      <c r="H792" s="226"/>
    </row>
    <row r="793" spans="8:8" ht="13">
      <c r="H793" s="226"/>
    </row>
    <row r="794" spans="8:8" ht="13">
      <c r="H794" s="226"/>
    </row>
    <row r="795" spans="8:8" ht="13">
      <c r="H795" s="226"/>
    </row>
    <row r="796" spans="8:8" ht="13">
      <c r="H796" s="226"/>
    </row>
    <row r="797" spans="8:8" ht="13">
      <c r="H797" s="226"/>
    </row>
    <row r="798" spans="8:8" ht="13">
      <c r="H798" s="226"/>
    </row>
    <row r="799" spans="8:8" ht="13">
      <c r="H799" s="226"/>
    </row>
    <row r="800" spans="8:8" ht="13">
      <c r="H800" s="226"/>
    </row>
    <row r="801" spans="8:8" ht="13">
      <c r="H801" s="226"/>
    </row>
    <row r="802" spans="8:8" ht="13">
      <c r="H802" s="226"/>
    </row>
    <row r="803" spans="8:8" ht="13">
      <c r="H803" s="226"/>
    </row>
    <row r="804" spans="8:8" ht="13">
      <c r="H804" s="226"/>
    </row>
    <row r="805" spans="8:8" ht="13">
      <c r="H805" s="226"/>
    </row>
    <row r="806" spans="8:8" ht="13">
      <c r="H806" s="226"/>
    </row>
    <row r="807" spans="8:8" ht="13">
      <c r="H807" s="226"/>
    </row>
    <row r="808" spans="8:8" ht="13">
      <c r="H808" s="226"/>
    </row>
    <row r="809" spans="8:8" ht="13">
      <c r="H809" s="226"/>
    </row>
    <row r="810" spans="8:8" ht="13">
      <c r="H810" s="226"/>
    </row>
    <row r="811" spans="8:8" ht="13">
      <c r="H811" s="226"/>
    </row>
    <row r="812" spans="8:8" ht="13">
      <c r="H812" s="226"/>
    </row>
    <row r="813" spans="8:8" ht="13">
      <c r="H813" s="226"/>
    </row>
    <row r="814" spans="8:8" ht="13">
      <c r="H814" s="226"/>
    </row>
    <row r="815" spans="8:8" ht="13">
      <c r="H815" s="226"/>
    </row>
    <row r="816" spans="8:8" ht="13">
      <c r="H816" s="226"/>
    </row>
    <row r="817" spans="8:8" ht="13">
      <c r="H817" s="226"/>
    </row>
    <row r="818" spans="8:8" ht="13">
      <c r="H818" s="226"/>
    </row>
    <row r="819" spans="8:8" ht="13">
      <c r="H819" s="226"/>
    </row>
    <row r="820" spans="8:8" ht="13">
      <c r="H820" s="226"/>
    </row>
    <row r="821" spans="8:8" ht="13">
      <c r="H821" s="226"/>
    </row>
    <row r="822" spans="8:8" ht="13">
      <c r="H822" s="226"/>
    </row>
    <row r="823" spans="8:8" ht="13">
      <c r="H823" s="226"/>
    </row>
    <row r="824" spans="8:8" ht="13">
      <c r="H824" s="226"/>
    </row>
    <row r="825" spans="8:8" ht="13">
      <c r="H825" s="226"/>
    </row>
    <row r="826" spans="8:8" ht="13">
      <c r="H826" s="226"/>
    </row>
    <row r="827" spans="8:8" ht="13">
      <c r="H827" s="226"/>
    </row>
    <row r="828" spans="8:8" ht="13">
      <c r="H828" s="226"/>
    </row>
    <row r="829" spans="8:8" ht="13">
      <c r="H829" s="226"/>
    </row>
    <row r="830" spans="8:8" ht="13">
      <c r="H830" s="226"/>
    </row>
    <row r="831" spans="8:8" ht="13">
      <c r="H831" s="226"/>
    </row>
    <row r="832" spans="8:8" ht="13">
      <c r="H832" s="226"/>
    </row>
    <row r="833" spans="8:8" ht="13">
      <c r="H833" s="226"/>
    </row>
    <row r="834" spans="8:8" ht="13">
      <c r="H834" s="226"/>
    </row>
    <row r="835" spans="8:8" ht="13">
      <c r="H835" s="226"/>
    </row>
    <row r="836" spans="8:8" ht="13">
      <c r="H836" s="226"/>
    </row>
    <row r="837" spans="8:8" ht="13">
      <c r="H837" s="226"/>
    </row>
    <row r="838" spans="8:8" ht="13">
      <c r="H838" s="226"/>
    </row>
    <row r="839" spans="8:8" ht="13">
      <c r="H839" s="226"/>
    </row>
    <row r="840" spans="8:8" ht="13">
      <c r="H840" s="226"/>
    </row>
    <row r="841" spans="8:8" ht="13">
      <c r="H841" s="226"/>
    </row>
    <row r="842" spans="8:8" ht="13">
      <c r="H842" s="226"/>
    </row>
    <row r="843" spans="8:8" ht="13">
      <c r="H843" s="226"/>
    </row>
    <row r="844" spans="8:8" ht="13">
      <c r="H844" s="226"/>
    </row>
    <row r="845" spans="8:8" ht="13">
      <c r="H845" s="226"/>
    </row>
    <row r="846" spans="8:8" ht="13">
      <c r="H846" s="226"/>
    </row>
    <row r="847" spans="8:8" ht="13">
      <c r="H847" s="226"/>
    </row>
    <row r="848" spans="8:8" ht="13">
      <c r="H848" s="226"/>
    </row>
    <row r="849" spans="8:8" ht="13">
      <c r="H849" s="226"/>
    </row>
    <row r="850" spans="8:8" ht="13">
      <c r="H850" s="226"/>
    </row>
    <row r="851" spans="8:8" ht="13">
      <c r="H851" s="226"/>
    </row>
    <row r="852" spans="8:8" ht="13">
      <c r="H852" s="226"/>
    </row>
    <row r="853" spans="8:8" ht="13">
      <c r="H853" s="226"/>
    </row>
    <row r="854" spans="8:8" ht="13">
      <c r="H854" s="226"/>
    </row>
    <row r="855" spans="8:8" ht="13">
      <c r="H855" s="226"/>
    </row>
    <row r="856" spans="8:8" ht="13">
      <c r="H856" s="226"/>
    </row>
    <row r="857" spans="8:8" ht="13">
      <c r="H857" s="226"/>
    </row>
    <row r="858" spans="8:8" ht="13">
      <c r="H858" s="226"/>
    </row>
    <row r="859" spans="8:8" ht="13">
      <c r="H859" s="226"/>
    </row>
    <row r="860" spans="8:8" ht="13">
      <c r="H860" s="226"/>
    </row>
    <row r="861" spans="8:8" ht="13">
      <c r="H861" s="226"/>
    </row>
    <row r="862" spans="8:8" ht="13">
      <c r="H862" s="226"/>
    </row>
    <row r="863" spans="8:8" ht="13">
      <c r="H863" s="226"/>
    </row>
    <row r="864" spans="8:8" ht="13">
      <c r="H864" s="226"/>
    </row>
    <row r="865" spans="8:8" ht="13">
      <c r="H865" s="226"/>
    </row>
    <row r="866" spans="8:8" ht="13">
      <c r="H866" s="226"/>
    </row>
    <row r="867" spans="8:8" ht="13">
      <c r="H867" s="226"/>
    </row>
    <row r="868" spans="8:8" ht="13">
      <c r="H868" s="226"/>
    </row>
    <row r="869" spans="8:8" ht="13">
      <c r="H869" s="226"/>
    </row>
    <row r="870" spans="8:8" ht="13">
      <c r="H870" s="226"/>
    </row>
    <row r="871" spans="8:8" ht="13">
      <c r="H871" s="226"/>
    </row>
    <row r="872" spans="8:8" ht="13">
      <c r="H872" s="226"/>
    </row>
    <row r="873" spans="8:8" ht="13">
      <c r="H873" s="226"/>
    </row>
    <row r="874" spans="8:8" ht="13">
      <c r="H874" s="226"/>
    </row>
    <row r="875" spans="8:8" ht="13">
      <c r="H875" s="226"/>
    </row>
    <row r="876" spans="8:8" ht="13">
      <c r="H876" s="226"/>
    </row>
    <row r="877" spans="8:8" ht="13">
      <c r="H877" s="226"/>
    </row>
    <row r="878" spans="8:8" ht="13">
      <c r="H878" s="226"/>
    </row>
    <row r="879" spans="8:8" ht="13">
      <c r="H879" s="226"/>
    </row>
    <row r="880" spans="8:8" ht="13">
      <c r="H880" s="226"/>
    </row>
    <row r="881" spans="8:8" ht="13">
      <c r="H881" s="226"/>
    </row>
    <row r="882" spans="8:8" ht="13">
      <c r="H882" s="226"/>
    </row>
    <row r="883" spans="8:8" ht="13">
      <c r="H883" s="226"/>
    </row>
    <row r="884" spans="8:8" ht="13">
      <c r="H884" s="226"/>
    </row>
    <row r="885" spans="8:8" ht="13">
      <c r="H885" s="226"/>
    </row>
    <row r="886" spans="8:8" ht="13">
      <c r="H886" s="226"/>
    </row>
    <row r="887" spans="8:8" ht="13">
      <c r="H887" s="226"/>
    </row>
    <row r="888" spans="8:8" ht="13">
      <c r="H888" s="226"/>
    </row>
    <row r="889" spans="8:8" ht="13">
      <c r="H889" s="226"/>
    </row>
    <row r="890" spans="8:8" ht="13">
      <c r="H890" s="226"/>
    </row>
    <row r="891" spans="8:8" ht="13">
      <c r="H891" s="226"/>
    </row>
    <row r="892" spans="8:8" ht="13">
      <c r="H892" s="226"/>
    </row>
    <row r="893" spans="8:8" ht="13">
      <c r="H893" s="226"/>
    </row>
    <row r="894" spans="8:8" ht="13">
      <c r="H894" s="226"/>
    </row>
    <row r="895" spans="8:8" ht="13">
      <c r="H895" s="226"/>
    </row>
    <row r="896" spans="8:8" ht="13">
      <c r="H896" s="226"/>
    </row>
    <row r="897" spans="8:8" ht="13">
      <c r="H897" s="226"/>
    </row>
    <row r="898" spans="8:8" ht="13">
      <c r="H898" s="226"/>
    </row>
    <row r="899" spans="8:8" ht="13">
      <c r="H899" s="226"/>
    </row>
    <row r="900" spans="8:8" ht="13">
      <c r="H900" s="226"/>
    </row>
    <row r="901" spans="8:8" ht="13">
      <c r="H901" s="226"/>
    </row>
    <row r="902" spans="8:8" ht="13">
      <c r="H902" s="226"/>
    </row>
    <row r="903" spans="8:8" ht="13">
      <c r="H903" s="226"/>
    </row>
    <row r="904" spans="8:8" ht="13">
      <c r="H904" s="226"/>
    </row>
    <row r="905" spans="8:8" ht="13">
      <c r="H905" s="226"/>
    </row>
    <row r="906" spans="8:8" ht="13">
      <c r="H906" s="226"/>
    </row>
    <row r="907" spans="8:8" ht="13">
      <c r="H907" s="226"/>
    </row>
    <row r="908" spans="8:8" ht="13">
      <c r="H908" s="226"/>
    </row>
    <row r="909" spans="8:8" ht="13">
      <c r="H909" s="226"/>
    </row>
    <row r="910" spans="8:8" ht="13">
      <c r="H910" s="226"/>
    </row>
    <row r="911" spans="8:8" ht="13">
      <c r="H911" s="226"/>
    </row>
    <row r="912" spans="8:8" ht="13">
      <c r="H912" s="226"/>
    </row>
    <row r="913" spans="8:8" ht="13">
      <c r="H913" s="226"/>
    </row>
    <row r="914" spans="8:8" ht="13">
      <c r="H914" s="226"/>
    </row>
    <row r="915" spans="8:8" ht="13">
      <c r="H915" s="226"/>
    </row>
    <row r="916" spans="8:8" ht="13">
      <c r="H916" s="226"/>
    </row>
    <row r="917" spans="8:8" ht="13">
      <c r="H917" s="226"/>
    </row>
    <row r="918" spans="8:8" ht="13">
      <c r="H918" s="226"/>
    </row>
    <row r="919" spans="8:8" ht="13">
      <c r="H919" s="226"/>
    </row>
    <row r="920" spans="8:8" ht="13">
      <c r="H920" s="226"/>
    </row>
    <row r="921" spans="8:8" ht="13">
      <c r="H921" s="226"/>
    </row>
    <row r="922" spans="8:8" ht="13">
      <c r="H922" s="226"/>
    </row>
    <row r="923" spans="8:8" ht="13">
      <c r="H923" s="226"/>
    </row>
    <row r="924" spans="8:8" ht="13">
      <c r="H924" s="226"/>
    </row>
    <row r="925" spans="8:8" ht="13">
      <c r="H925" s="226"/>
    </row>
    <row r="926" spans="8:8" ht="13">
      <c r="H926" s="226"/>
    </row>
    <row r="927" spans="8:8" ht="13">
      <c r="H927" s="226"/>
    </row>
    <row r="928" spans="8:8" ht="13">
      <c r="H928" s="226"/>
    </row>
    <row r="929" spans="8:8" ht="13">
      <c r="H929" s="226"/>
    </row>
    <row r="930" spans="8:8" ht="13">
      <c r="H930" s="226"/>
    </row>
    <row r="931" spans="8:8" ht="13">
      <c r="H931" s="226"/>
    </row>
    <row r="932" spans="8:8" ht="13">
      <c r="H932" s="226"/>
    </row>
    <row r="933" spans="8:8" ht="13">
      <c r="H933" s="226"/>
    </row>
    <row r="934" spans="8:8" ht="13">
      <c r="H934" s="226"/>
    </row>
    <row r="935" spans="8:8" ht="13">
      <c r="H935" s="226"/>
    </row>
    <row r="936" spans="8:8" ht="13">
      <c r="H936" s="226"/>
    </row>
    <row r="937" spans="8:8" ht="13">
      <c r="H937" s="226"/>
    </row>
    <row r="938" spans="8:8" ht="13">
      <c r="H938" s="226"/>
    </row>
    <row r="939" spans="8:8" ht="13">
      <c r="H939" s="226"/>
    </row>
    <row r="940" spans="8:8" ht="13">
      <c r="H940" s="226"/>
    </row>
    <row r="941" spans="8:8" ht="13">
      <c r="H941" s="226"/>
    </row>
    <row r="942" spans="8:8" ht="13">
      <c r="H942" s="226"/>
    </row>
    <row r="943" spans="8:8" ht="13">
      <c r="H943" s="226"/>
    </row>
    <row r="944" spans="8:8" ht="13">
      <c r="H944" s="226"/>
    </row>
    <row r="945" spans="8:8" ht="13">
      <c r="H945" s="226"/>
    </row>
    <row r="946" spans="8:8" ht="13">
      <c r="H946" s="226"/>
    </row>
    <row r="947" spans="8:8" ht="13">
      <c r="H947" s="226"/>
    </row>
    <row r="948" spans="8:8" ht="13">
      <c r="H948" s="226"/>
    </row>
    <row r="949" spans="8:8" ht="13">
      <c r="H949" s="226"/>
    </row>
    <row r="950" spans="8:8" ht="13">
      <c r="H950" s="226"/>
    </row>
    <row r="951" spans="8:8" ht="13">
      <c r="H951" s="226"/>
    </row>
    <row r="952" spans="8:8" ht="13">
      <c r="H952" s="226"/>
    </row>
    <row r="953" spans="8:8" ht="13">
      <c r="H953" s="226"/>
    </row>
    <row r="954" spans="8:8" ht="13">
      <c r="H954" s="226"/>
    </row>
    <row r="955" spans="8:8" ht="13">
      <c r="H955" s="226"/>
    </row>
    <row r="956" spans="8:8" ht="13">
      <c r="H956" s="226"/>
    </row>
    <row r="957" spans="8:8" ht="13">
      <c r="H957" s="226"/>
    </row>
    <row r="958" spans="8:8" ht="13">
      <c r="H958" s="226"/>
    </row>
    <row r="959" spans="8:8" ht="13">
      <c r="H959" s="226"/>
    </row>
    <row r="960" spans="8:8" ht="13">
      <c r="H960" s="226"/>
    </row>
    <row r="961" spans="8:8" ht="13">
      <c r="H961" s="226"/>
    </row>
    <row r="962" spans="8:8" ht="13">
      <c r="H962" s="226"/>
    </row>
    <row r="963" spans="8:8" ht="13">
      <c r="H963" s="226"/>
    </row>
    <row r="964" spans="8:8" ht="13">
      <c r="H964" s="226"/>
    </row>
    <row r="965" spans="8:8" ht="13">
      <c r="H965" s="226"/>
    </row>
    <row r="966" spans="8:8" ht="13">
      <c r="H966" s="226"/>
    </row>
    <row r="967" spans="8:8" ht="13">
      <c r="H967" s="226"/>
    </row>
    <row r="968" spans="8:8" ht="13">
      <c r="H968" s="226"/>
    </row>
    <row r="969" spans="8:8" ht="13">
      <c r="H969" s="226"/>
    </row>
    <row r="970" spans="8:8" ht="13">
      <c r="H970" s="226"/>
    </row>
    <row r="971" spans="8:8" ht="13">
      <c r="H971" s="226"/>
    </row>
    <row r="972" spans="8:8" ht="13">
      <c r="H972" s="226"/>
    </row>
    <row r="973" spans="8:8" ht="13">
      <c r="H973" s="226"/>
    </row>
    <row r="974" spans="8:8" ht="13">
      <c r="H974" s="226"/>
    </row>
    <row r="975" spans="8:8" ht="13">
      <c r="H975" s="226"/>
    </row>
    <row r="976" spans="8:8" ht="13">
      <c r="H976" s="226"/>
    </row>
    <row r="977" spans="8:8" ht="13">
      <c r="H977" s="226"/>
    </row>
    <row r="978" spans="8:8" ht="13">
      <c r="H978" s="226"/>
    </row>
    <row r="979" spans="8:8" ht="13">
      <c r="H979" s="226"/>
    </row>
    <row r="980" spans="8:8" ht="13">
      <c r="H980" s="226"/>
    </row>
    <row r="981" spans="8:8" ht="13">
      <c r="H981" s="226"/>
    </row>
    <row r="982" spans="8:8" ht="13">
      <c r="H982" s="226"/>
    </row>
    <row r="983" spans="8:8" ht="13">
      <c r="H983" s="226"/>
    </row>
    <row r="984" spans="8:8" ht="13">
      <c r="H984" s="226"/>
    </row>
    <row r="985" spans="8:8" ht="13">
      <c r="H985" s="226"/>
    </row>
    <row r="986" spans="8:8" ht="13">
      <c r="H986" s="226"/>
    </row>
    <row r="987" spans="8:8" ht="13">
      <c r="H987" s="226"/>
    </row>
    <row r="988" spans="8:8" ht="13">
      <c r="H988" s="226"/>
    </row>
    <row r="989" spans="8:8" ht="13">
      <c r="H989" s="226"/>
    </row>
    <row r="990" spans="8:8" ht="13">
      <c r="H990" s="226"/>
    </row>
    <row r="991" spans="8:8" ht="13">
      <c r="H991" s="226"/>
    </row>
    <row r="992" spans="8:8" ht="13">
      <c r="H992" s="226"/>
    </row>
    <row r="993" spans="8:8" ht="13">
      <c r="H993" s="226"/>
    </row>
    <row r="994" spans="8:8" ht="13">
      <c r="H994" s="226"/>
    </row>
    <row r="995" spans="8:8" ht="13">
      <c r="H995" s="226"/>
    </row>
    <row r="996" spans="8:8" ht="13">
      <c r="H996" s="226"/>
    </row>
    <row r="997" spans="8:8" ht="13">
      <c r="H997" s="226"/>
    </row>
    <row r="998" spans="8:8" ht="13">
      <c r="H998" s="226"/>
    </row>
    <row r="999" spans="8:8" ht="13">
      <c r="H999" s="226"/>
    </row>
    <row r="1000" spans="8:8" ht="13">
      <c r="H1000" s="226"/>
    </row>
    <row r="1001" spans="8:8" ht="13">
      <c r="H1001" s="226"/>
    </row>
    <row r="1002" spans="8:8" ht="13">
      <c r="H1002" s="226"/>
    </row>
    <row r="1003" spans="8:8" ht="13">
      <c r="H1003" s="226"/>
    </row>
    <row r="1004" spans="8:8" ht="13">
      <c r="H1004" s="226"/>
    </row>
    <row r="1005" spans="8:8" ht="13">
      <c r="H1005" s="226"/>
    </row>
    <row r="1006" spans="8:8" ht="13">
      <c r="H1006" s="226"/>
    </row>
    <row r="1007" spans="8:8" ht="13">
      <c r="H1007" s="226"/>
    </row>
    <row r="1008" spans="8:8" ht="13">
      <c r="H1008" s="226"/>
    </row>
    <row r="1009" spans="8:8" ht="13">
      <c r="H1009" s="226"/>
    </row>
    <row r="1010" spans="8:8" ht="13">
      <c r="H1010" s="226"/>
    </row>
    <row r="1011" spans="8:8" ht="13">
      <c r="H1011" s="226"/>
    </row>
    <row r="1012" spans="8:8" ht="13">
      <c r="H1012" s="226"/>
    </row>
    <row r="1013" spans="8:8" ht="13">
      <c r="H1013" s="226"/>
    </row>
    <row r="1014" spans="8:8" ht="13">
      <c r="H1014" s="226"/>
    </row>
    <row r="1015" spans="8:8" ht="13">
      <c r="H1015" s="226"/>
    </row>
    <row r="1016" spans="8:8" ht="13">
      <c r="H1016" s="226"/>
    </row>
    <row r="1017" spans="8:8" ht="13">
      <c r="H1017" s="226"/>
    </row>
    <row r="1018" spans="8:8" ht="13">
      <c r="H1018" s="226"/>
    </row>
    <row r="1019" spans="8:8" ht="13">
      <c r="H1019" s="226"/>
    </row>
    <row r="1020" spans="8:8" ht="13">
      <c r="H1020" s="226"/>
    </row>
    <row r="1021" spans="8:8" ht="13">
      <c r="H1021" s="226"/>
    </row>
    <row r="1022" spans="8:8" ht="13">
      <c r="H1022" s="226"/>
    </row>
    <row r="1023" spans="8:8" ht="13">
      <c r="H1023" s="226"/>
    </row>
    <row r="1024" spans="8:8" ht="13">
      <c r="H1024" s="226"/>
    </row>
    <row r="1025" spans="8:8" ht="13">
      <c r="H1025" s="226"/>
    </row>
    <row r="1026" spans="8:8" ht="13">
      <c r="H1026" s="226"/>
    </row>
    <row r="1027" spans="8:8" ht="13">
      <c r="H1027" s="226"/>
    </row>
    <row r="1028" spans="8:8" ht="13">
      <c r="H1028" s="226"/>
    </row>
    <row r="1029" spans="8:8" ht="13">
      <c r="H1029" s="226"/>
    </row>
    <row r="1030" spans="8:8" ht="13">
      <c r="H1030" s="226"/>
    </row>
    <row r="1031" spans="8:8" ht="13">
      <c r="H1031" s="226"/>
    </row>
    <row r="1032" spans="8:8" ht="13">
      <c r="H1032" s="226"/>
    </row>
    <row r="1033" spans="8:8" ht="13">
      <c r="H1033" s="226"/>
    </row>
    <row r="1034" spans="8:8" ht="13">
      <c r="H1034" s="226"/>
    </row>
    <row r="1035" spans="8:8" ht="13">
      <c r="H1035" s="226"/>
    </row>
    <row r="1036" spans="8:8" ht="13">
      <c r="H1036" s="226"/>
    </row>
    <row r="1037" spans="8:8" ht="13">
      <c r="H1037" s="226"/>
    </row>
    <row r="1038" spans="8:8" ht="13">
      <c r="H1038" s="226"/>
    </row>
    <row r="1039" spans="8:8" ht="13">
      <c r="H1039" s="226"/>
    </row>
    <row r="1040" spans="8:8" ht="13">
      <c r="H1040" s="226"/>
    </row>
    <row r="1041" spans="8:8" ht="13">
      <c r="H1041" s="226"/>
    </row>
    <row r="1042" spans="8:8" ht="13">
      <c r="H1042" s="226"/>
    </row>
    <row r="1043" spans="8:8" ht="13">
      <c r="H1043" s="226"/>
    </row>
    <row r="1044" spans="8:8" ht="13">
      <c r="H1044" s="226"/>
    </row>
    <row r="1045" spans="8:8" ht="13">
      <c r="H1045" s="226"/>
    </row>
    <row r="1046" spans="8:8" ht="13">
      <c r="H1046" s="226"/>
    </row>
    <row r="1047" spans="8:8" ht="13">
      <c r="H1047" s="226"/>
    </row>
    <row r="1048" spans="8:8" ht="13">
      <c r="H1048" s="226"/>
    </row>
    <row r="1049" spans="8:8" ht="13">
      <c r="H1049" s="226"/>
    </row>
    <row r="1050" spans="8:8" ht="13">
      <c r="H1050" s="226"/>
    </row>
    <row r="1051" spans="8:8" ht="13">
      <c r="H1051" s="226"/>
    </row>
    <row r="1052" spans="8:8" ht="13">
      <c r="H1052" s="226"/>
    </row>
    <row r="1053" spans="8:8" ht="13">
      <c r="H1053" s="226"/>
    </row>
    <row r="1054" spans="8:8" ht="13">
      <c r="H1054" s="226"/>
    </row>
    <row r="1055" spans="8:8" ht="13">
      <c r="H1055" s="226"/>
    </row>
    <row r="1056" spans="8:8" ht="13">
      <c r="H1056" s="226"/>
    </row>
    <row r="1057" spans="8:8" ht="13">
      <c r="H1057" s="226"/>
    </row>
    <row r="1058" spans="8:8" ht="13">
      <c r="H1058" s="226"/>
    </row>
  </sheetData>
  <autoFilter ref="A1:U151" xr:uid="{00000000-0009-0000-0000-000009000000}">
    <filterColumn colId="18">
      <filters>
        <filter val="Voigtlander"/>
      </filters>
    </filterColumn>
  </autoFilter>
  <conditionalFormatting sqref="C82:C151">
    <cfRule type="colorScale" priority="1">
      <colorScale>
        <cfvo type="formula" val="10"/>
        <cfvo type="formula" val="50"/>
        <cfvo type="formula" val="400"/>
        <color rgb="FFCFE2F3"/>
        <color rgb="FF709CE0"/>
        <color rgb="FF1155CC"/>
      </colorScale>
    </cfRule>
  </conditionalFormatting>
  <conditionalFormatting sqref="A82:A151">
    <cfRule type="expression" dxfId="216" priority="2">
      <formula>(TODAY()-T82)&lt;0</formula>
    </cfRule>
  </conditionalFormatting>
  <conditionalFormatting sqref="A82:A151">
    <cfRule type="expression" dxfId="215" priority="3">
      <formula>(TODAY()-T82)&lt;180</formula>
    </cfRule>
  </conditionalFormatting>
  <conditionalFormatting sqref="G82:G151">
    <cfRule type="cellIs" dxfId="214" priority="4" operator="equal">
      <formula>"MF"</formula>
    </cfRule>
  </conditionalFormatting>
  <conditionalFormatting sqref="I82:I151">
    <cfRule type="cellIs" dxfId="213" priority="5" operator="between">
      <formula>0.24</formula>
      <formula>0.45</formula>
    </cfRule>
  </conditionalFormatting>
  <conditionalFormatting sqref="I82:I151">
    <cfRule type="cellIs" dxfId="212" priority="6" operator="between">
      <formula>0.45</formula>
      <formula>0.99</formula>
    </cfRule>
  </conditionalFormatting>
  <conditionalFormatting sqref="I82:I151">
    <cfRule type="cellIs" dxfId="211" priority="7" operator="greaterThan">
      <formula>0.99</formula>
    </cfRule>
  </conditionalFormatting>
  <conditionalFormatting sqref="B1 B3:B1058">
    <cfRule type="cellIs" dxfId="210" priority="8" operator="between">
      <formula>50</formula>
      <formula>200</formula>
    </cfRule>
  </conditionalFormatting>
  <conditionalFormatting sqref="B1 B3:B1058">
    <cfRule type="cellIs" dxfId="209" priority="9" operator="between">
      <formula>201</formula>
      <formula>400</formula>
    </cfRule>
  </conditionalFormatting>
  <conditionalFormatting sqref="B3:B1053">
    <cfRule type="cellIs" dxfId="208" priority="10" operator="between">
      <formula>401</formula>
      <formula>650</formula>
    </cfRule>
  </conditionalFormatting>
  <conditionalFormatting sqref="B3:B1053">
    <cfRule type="cellIs" dxfId="207" priority="11" operator="between">
      <formula>651</formula>
      <formula>900</formula>
    </cfRule>
  </conditionalFormatting>
  <conditionalFormatting sqref="B3:B1053">
    <cfRule type="cellIs" dxfId="206" priority="12" operator="greaterThan">
      <formula>900</formula>
    </cfRule>
  </conditionalFormatting>
  <conditionalFormatting sqref="P3:P1053">
    <cfRule type="containsText" dxfId="205" priority="13" operator="containsText" text="yes">
      <formula>NOT(ISERROR(SEARCH(("yes"),(P3))))</formula>
    </cfRule>
  </conditionalFormatting>
  <conditionalFormatting sqref="F1:F1058">
    <cfRule type="colorScale" priority="14">
      <colorScale>
        <cfvo type="min"/>
        <cfvo type="formula" val="150"/>
        <color rgb="FFEAD1DC"/>
        <color rgb="FFA64D79"/>
      </colorScale>
    </cfRule>
  </conditionalFormatting>
  <conditionalFormatting sqref="D3:D151">
    <cfRule type="colorScale" priority="15">
      <colorScale>
        <cfvo type="formula" val="1.2"/>
        <cfvo type="formula" val="4"/>
        <color rgb="FF0B5394"/>
        <color rgb="FFFFFFFF"/>
      </colorScale>
    </cfRule>
  </conditionalFormatting>
  <conditionalFormatting sqref="E3:E151">
    <cfRule type="colorScale" priority="16">
      <colorScale>
        <cfvo type="formula" val="65"/>
        <cfvo type="formula" val="100"/>
        <color rgb="FFD9D2E9"/>
        <color rgb="FF674EA7"/>
      </colorScale>
    </cfRule>
  </conditionalFormatting>
  <conditionalFormatting sqref="D3:D151">
    <cfRule type="containsText" dxfId="204" priority="17" operator="containsText" text="1.2">
      <formula>NOT(ISERROR(SEARCH(("1.2"),(D3))))</formula>
    </cfRule>
  </conditionalFormatting>
  <conditionalFormatting sqref="B3:B1053">
    <cfRule type="cellIs" dxfId="203" priority="18" operator="between">
      <formula>651</formula>
      <formula>900</formula>
    </cfRule>
  </conditionalFormatting>
  <conditionalFormatting sqref="D3:D151">
    <cfRule type="containsText" dxfId="202" priority="19" operator="containsText" text="1.4">
      <formula>NOT(ISERROR(SEARCH(("1.4"),(D3))))</formula>
    </cfRule>
  </conditionalFormatting>
  <conditionalFormatting sqref="D3:D151 E3:AA81">
    <cfRule type="containsText" dxfId="201" priority="20" operator="containsText" text="1.8">
      <formula>NOT(ISERROR(SEARCH(("1.8"),(D3))))</formula>
    </cfRule>
  </conditionalFormatting>
  <conditionalFormatting sqref="F1:F1058">
    <cfRule type="colorScale" priority="21">
      <colorScale>
        <cfvo type="min"/>
        <cfvo type="formula" val="150"/>
        <color rgb="FFEAD1DC"/>
        <color rgb="FFA64D79"/>
      </colorScale>
    </cfRule>
  </conditionalFormatting>
  <conditionalFormatting sqref="D3:D81">
    <cfRule type="colorScale" priority="22">
      <colorScale>
        <cfvo type="formula" val="1.2"/>
        <cfvo type="formula" val="4"/>
        <color rgb="FF0B5394"/>
        <color rgb="FFFFFFFF"/>
      </colorScale>
    </cfRule>
  </conditionalFormatting>
  <conditionalFormatting sqref="E3:E81">
    <cfRule type="colorScale" priority="23">
      <colorScale>
        <cfvo type="formula" val="65"/>
        <cfvo type="formula" val="100"/>
        <color rgb="FFD9D2E9"/>
        <color rgb="FF674EA7"/>
      </colorScale>
    </cfRule>
  </conditionalFormatting>
  <conditionalFormatting sqref="D3:D81">
    <cfRule type="containsText" dxfId="200" priority="24" operator="containsText" text="1.2">
      <formula>NOT(ISERROR(SEARCH(("1.2"),(D3))))</formula>
    </cfRule>
  </conditionalFormatting>
  <conditionalFormatting sqref="D12 D75">
    <cfRule type="notContainsBlanks" dxfId="199" priority="25">
      <formula>LEN(TRIM(D12))&gt;0</formula>
    </cfRule>
  </conditionalFormatting>
  <conditionalFormatting sqref="D3:D81">
    <cfRule type="containsText" dxfId="198" priority="26" operator="containsText" text="1.4">
      <formula>NOT(ISERROR(SEARCH(("1.4"),(D3))))</formula>
    </cfRule>
  </conditionalFormatting>
  <conditionalFormatting sqref="D3:AA81">
    <cfRule type="containsText" dxfId="197" priority="27" operator="containsText" text="1.8">
      <formula>NOT(ISERROR(SEARCH(("1.8"),(D3))))</formula>
    </cfRule>
  </conditionalFormatting>
  <conditionalFormatting sqref="F1:F1058">
    <cfRule type="colorScale" priority="28">
      <colorScale>
        <cfvo type="min"/>
        <cfvo type="formula" val="150"/>
        <color rgb="FFEAD1DC"/>
        <color rgb="FFA64D79"/>
      </colorScale>
    </cfRule>
  </conditionalFormatting>
  <conditionalFormatting sqref="D3:D81">
    <cfRule type="colorScale" priority="29">
      <colorScale>
        <cfvo type="formula" val="1.2"/>
        <cfvo type="formula" val="4"/>
        <color rgb="FF0B5394"/>
        <color rgb="FFFFFFFF"/>
      </colorScale>
    </cfRule>
  </conditionalFormatting>
  <conditionalFormatting sqref="E3:E81">
    <cfRule type="colorScale" priority="30">
      <colorScale>
        <cfvo type="formula" val="65"/>
        <cfvo type="formula" val="100"/>
        <color rgb="FFD9D2E9"/>
        <color rgb="FF674EA7"/>
      </colorScale>
    </cfRule>
  </conditionalFormatting>
  <conditionalFormatting sqref="D3:D81">
    <cfRule type="containsText" dxfId="196" priority="31" operator="containsText" text="1.2">
      <formula>NOT(ISERROR(SEARCH(("1.2"),(D3))))</formula>
    </cfRule>
  </conditionalFormatting>
  <conditionalFormatting sqref="B3:B1053">
    <cfRule type="cellIs" dxfId="195" priority="32" operator="between">
      <formula>651</formula>
      <formula>900</formula>
    </cfRule>
  </conditionalFormatting>
  <conditionalFormatting sqref="D3:D81">
    <cfRule type="containsText" dxfId="194" priority="33" operator="containsText" text="1.4">
      <formula>NOT(ISERROR(SEARCH(("1.4"),(D3))))</formula>
    </cfRule>
  </conditionalFormatting>
  <conditionalFormatting sqref="D3:AA81">
    <cfRule type="containsText" dxfId="193" priority="34" operator="containsText" text="1.8">
      <formula>NOT(ISERROR(SEARCH(("1.8"),(D3))))</formula>
    </cfRule>
  </conditionalFormatting>
  <conditionalFormatting sqref="F1:F1058">
    <cfRule type="colorScale" priority="35">
      <colorScale>
        <cfvo type="min"/>
        <cfvo type="formula" val="150"/>
        <color rgb="FFEAD1DC"/>
        <color rgb="FFA64D79"/>
      </colorScale>
    </cfRule>
  </conditionalFormatting>
  <conditionalFormatting sqref="D3:D81">
    <cfRule type="colorScale" priority="36">
      <colorScale>
        <cfvo type="formula" val="1.2"/>
        <cfvo type="formula" val="4"/>
        <color rgb="FF0B5394"/>
        <color rgb="FFFFFFFF"/>
      </colorScale>
    </cfRule>
  </conditionalFormatting>
  <conditionalFormatting sqref="E3:E81">
    <cfRule type="colorScale" priority="37">
      <colorScale>
        <cfvo type="formula" val="65"/>
        <cfvo type="formula" val="100"/>
        <color rgb="FFD9D2E9"/>
        <color rgb="FF674EA7"/>
      </colorScale>
    </cfRule>
  </conditionalFormatting>
  <conditionalFormatting sqref="D3:D81">
    <cfRule type="containsText" dxfId="192" priority="38" operator="containsText" text="1.2">
      <formula>NOT(ISERROR(SEARCH(("1.2"),(D3))))</formula>
    </cfRule>
  </conditionalFormatting>
  <conditionalFormatting sqref="B3:B1053">
    <cfRule type="cellIs" dxfId="191" priority="39" operator="between">
      <formula>651</formula>
      <formula>900</formula>
    </cfRule>
  </conditionalFormatting>
  <conditionalFormatting sqref="D3:D81">
    <cfRule type="containsText" dxfId="190" priority="40" operator="containsText" text="1.4">
      <formula>NOT(ISERROR(SEARCH(("1.4"),(D3))))</formula>
    </cfRule>
  </conditionalFormatting>
  <conditionalFormatting sqref="D3:AA81">
    <cfRule type="containsText" dxfId="189" priority="41" operator="containsText" text="1.8">
      <formula>NOT(ISERROR(SEARCH(("1.8"),(D3))))</formula>
    </cfRule>
  </conditionalFormatting>
  <conditionalFormatting sqref="F1:F1058">
    <cfRule type="colorScale" priority="42">
      <colorScale>
        <cfvo type="min"/>
        <cfvo type="formula" val="150"/>
        <color rgb="FFEAD1DC"/>
        <color rgb="FFA64D79"/>
      </colorScale>
    </cfRule>
  </conditionalFormatting>
  <conditionalFormatting sqref="D3:D81">
    <cfRule type="colorScale" priority="43">
      <colorScale>
        <cfvo type="formula" val="1.2"/>
        <cfvo type="formula" val="4"/>
        <color rgb="FF0B5394"/>
        <color rgb="FFFFFFFF"/>
      </colorScale>
    </cfRule>
  </conditionalFormatting>
  <conditionalFormatting sqref="E3:E81">
    <cfRule type="colorScale" priority="44">
      <colorScale>
        <cfvo type="formula" val="65"/>
        <cfvo type="formula" val="100"/>
        <color rgb="FFD9D2E9"/>
        <color rgb="FF674EA7"/>
      </colorScale>
    </cfRule>
  </conditionalFormatting>
  <conditionalFormatting sqref="D3:D81">
    <cfRule type="containsText" dxfId="188" priority="45" operator="containsText" text="1.2">
      <formula>NOT(ISERROR(SEARCH(("1.2"),(D3))))</formula>
    </cfRule>
  </conditionalFormatting>
  <conditionalFormatting sqref="B3:B1053">
    <cfRule type="cellIs" dxfId="187" priority="46" operator="between">
      <formula>651</formula>
      <formula>900</formula>
    </cfRule>
  </conditionalFormatting>
  <conditionalFormatting sqref="D3:D81">
    <cfRule type="containsText" dxfId="186" priority="47" operator="containsText" text="1.4">
      <formula>NOT(ISERROR(SEARCH(("1.4"),(D3))))</formula>
    </cfRule>
  </conditionalFormatting>
  <conditionalFormatting sqref="D3:AA81">
    <cfRule type="containsText" dxfId="185" priority="48" operator="containsText" text="1.8">
      <formula>NOT(ISERROR(SEARCH(("1.8"),(D3))))</formula>
    </cfRule>
  </conditionalFormatting>
  <conditionalFormatting sqref="F1:F1058">
    <cfRule type="colorScale" priority="49">
      <colorScale>
        <cfvo type="min"/>
        <cfvo type="formula" val="150"/>
        <color rgb="FFEAD1DC"/>
        <color rgb="FFA64D79"/>
      </colorScale>
    </cfRule>
  </conditionalFormatting>
  <conditionalFormatting sqref="D3:D81">
    <cfRule type="colorScale" priority="50">
      <colorScale>
        <cfvo type="formula" val="1.2"/>
        <cfvo type="formula" val="4"/>
        <color rgb="FF0B5394"/>
        <color rgb="FFFFFFFF"/>
      </colorScale>
    </cfRule>
  </conditionalFormatting>
  <conditionalFormatting sqref="E3:E81">
    <cfRule type="colorScale" priority="51">
      <colorScale>
        <cfvo type="formula" val="65"/>
        <cfvo type="formula" val="100"/>
        <color rgb="FFD9D2E9"/>
        <color rgb="FF674EA7"/>
      </colorScale>
    </cfRule>
  </conditionalFormatting>
  <conditionalFormatting sqref="D3:D81">
    <cfRule type="containsText" dxfId="184" priority="52" operator="containsText" text="1.2">
      <formula>NOT(ISERROR(SEARCH(("1.2"),(D3))))</formula>
    </cfRule>
  </conditionalFormatting>
  <conditionalFormatting sqref="B3:B1053">
    <cfRule type="cellIs" dxfId="183" priority="53" operator="between">
      <formula>651</formula>
      <formula>900</formula>
    </cfRule>
  </conditionalFormatting>
  <conditionalFormatting sqref="D3:D81">
    <cfRule type="containsText" dxfId="182" priority="54" operator="containsText" text="1.4">
      <formula>NOT(ISERROR(SEARCH(("1.4"),(D3))))</formula>
    </cfRule>
  </conditionalFormatting>
  <conditionalFormatting sqref="D3:AA81">
    <cfRule type="containsText" dxfId="181" priority="55" operator="containsText" text="1.8">
      <formula>NOT(ISERROR(SEARCH(("1.8"),(D3))))</formula>
    </cfRule>
  </conditionalFormatting>
  <conditionalFormatting sqref="F1:F1058">
    <cfRule type="colorScale" priority="56">
      <colorScale>
        <cfvo type="min"/>
        <cfvo type="formula" val="150"/>
        <color rgb="FFEAD1DC"/>
        <color rgb="FFA64D79"/>
      </colorScale>
    </cfRule>
  </conditionalFormatting>
  <conditionalFormatting sqref="D3:D81">
    <cfRule type="colorScale" priority="57">
      <colorScale>
        <cfvo type="formula" val="1.2"/>
        <cfvo type="formula" val="4"/>
        <color rgb="FF0B5394"/>
        <color rgb="FFFFFFFF"/>
      </colorScale>
    </cfRule>
  </conditionalFormatting>
  <conditionalFormatting sqref="E3:E81">
    <cfRule type="colorScale" priority="58">
      <colorScale>
        <cfvo type="formula" val="65"/>
        <cfvo type="formula" val="100"/>
        <color rgb="FFD9D2E9"/>
        <color rgb="FF674EA7"/>
      </colorScale>
    </cfRule>
  </conditionalFormatting>
  <conditionalFormatting sqref="D3:D81">
    <cfRule type="containsText" dxfId="180" priority="59" operator="containsText" text="1.2">
      <formula>NOT(ISERROR(SEARCH(("1.2"),(D3))))</formula>
    </cfRule>
  </conditionalFormatting>
  <conditionalFormatting sqref="B3:B1053">
    <cfRule type="cellIs" dxfId="179" priority="60" operator="between">
      <formula>651</formula>
      <formula>900</formula>
    </cfRule>
  </conditionalFormatting>
  <conditionalFormatting sqref="D3:D81">
    <cfRule type="containsText" dxfId="178" priority="61" operator="containsText" text="1.4">
      <formula>NOT(ISERROR(SEARCH(("1.4"),(D3))))</formula>
    </cfRule>
  </conditionalFormatting>
  <conditionalFormatting sqref="D3:AA81">
    <cfRule type="containsText" dxfId="177" priority="62" operator="containsText" text="1.8">
      <formula>NOT(ISERROR(SEARCH(("1.8"),(D3))))</formula>
    </cfRule>
  </conditionalFormatting>
  <conditionalFormatting sqref="F1:F1058">
    <cfRule type="colorScale" priority="63">
      <colorScale>
        <cfvo type="min"/>
        <cfvo type="formula" val="150"/>
        <color rgb="FFEAD1DC"/>
        <color rgb="FFA64D79"/>
      </colorScale>
    </cfRule>
  </conditionalFormatting>
  <conditionalFormatting sqref="D3:D81">
    <cfRule type="colorScale" priority="64">
      <colorScale>
        <cfvo type="formula" val="1.2"/>
        <cfvo type="formula" val="4"/>
        <color rgb="FF0B5394"/>
        <color rgb="FFFFFFFF"/>
      </colorScale>
    </cfRule>
  </conditionalFormatting>
  <conditionalFormatting sqref="E3:E81">
    <cfRule type="colorScale" priority="65">
      <colorScale>
        <cfvo type="formula" val="65"/>
        <cfvo type="formula" val="100"/>
        <color rgb="FFD9D2E9"/>
        <color rgb="FF674EA7"/>
      </colorScale>
    </cfRule>
  </conditionalFormatting>
  <conditionalFormatting sqref="D3:D81">
    <cfRule type="containsText" dxfId="176" priority="66" operator="containsText" text="1.2">
      <formula>NOT(ISERROR(SEARCH(("1.2"),(D3))))</formula>
    </cfRule>
  </conditionalFormatting>
  <conditionalFormatting sqref="B3:B1053">
    <cfRule type="cellIs" dxfId="175" priority="67" operator="between">
      <formula>651</formula>
      <formula>900</formula>
    </cfRule>
  </conditionalFormatting>
  <conditionalFormatting sqref="D3:D81">
    <cfRule type="containsText" dxfId="174" priority="68" operator="containsText" text="1.4">
      <formula>NOT(ISERROR(SEARCH(("1.4"),(D3))))</formula>
    </cfRule>
  </conditionalFormatting>
  <conditionalFormatting sqref="D3:AA81">
    <cfRule type="containsText" dxfId="173" priority="69" operator="containsText" text="1.8">
      <formula>NOT(ISERROR(SEARCH(("1.8"),(D3))))</formula>
    </cfRule>
  </conditionalFormatting>
  <conditionalFormatting sqref="F1:F1058">
    <cfRule type="colorScale" priority="70">
      <colorScale>
        <cfvo type="min"/>
        <cfvo type="formula" val="150"/>
        <color rgb="FFEAD1DC"/>
        <color rgb="FFA64D79"/>
      </colorScale>
    </cfRule>
  </conditionalFormatting>
  <conditionalFormatting sqref="D3:D81">
    <cfRule type="colorScale" priority="71">
      <colorScale>
        <cfvo type="formula" val="1.2"/>
        <cfvo type="formula" val="4"/>
        <color rgb="FF0B5394"/>
        <color rgb="FFFFFFFF"/>
      </colorScale>
    </cfRule>
  </conditionalFormatting>
  <conditionalFormatting sqref="E3:E81">
    <cfRule type="colorScale" priority="72">
      <colorScale>
        <cfvo type="formula" val="65"/>
        <cfvo type="formula" val="100"/>
        <color rgb="FFD9D2E9"/>
        <color rgb="FF674EA7"/>
      </colorScale>
    </cfRule>
  </conditionalFormatting>
  <conditionalFormatting sqref="D3:D81">
    <cfRule type="containsText" dxfId="172" priority="73" operator="containsText" text="1.2">
      <formula>NOT(ISERROR(SEARCH(("1.2"),(D3))))</formula>
    </cfRule>
  </conditionalFormatting>
  <conditionalFormatting sqref="B3:B1053">
    <cfRule type="cellIs" dxfId="171" priority="74" operator="between">
      <formula>651</formula>
      <formula>900</formula>
    </cfRule>
  </conditionalFormatting>
  <conditionalFormatting sqref="D3:D81">
    <cfRule type="containsText" dxfId="170" priority="75" operator="containsText" text="1.4">
      <formula>NOT(ISERROR(SEARCH(("1.4"),(D3))))</formula>
    </cfRule>
  </conditionalFormatting>
  <conditionalFormatting sqref="D3:AA81">
    <cfRule type="containsText" dxfId="169" priority="76" operator="containsText" text="1.8">
      <formula>NOT(ISERROR(SEARCH(("1.8"),(D3))))</formula>
    </cfRule>
  </conditionalFormatting>
  <conditionalFormatting sqref="F1:F1058">
    <cfRule type="colorScale" priority="77">
      <colorScale>
        <cfvo type="min"/>
        <cfvo type="formula" val="150"/>
        <color rgb="FFEAD1DC"/>
        <color rgb="FFA64D79"/>
      </colorScale>
    </cfRule>
  </conditionalFormatting>
  <conditionalFormatting sqref="D3:D81">
    <cfRule type="colorScale" priority="78">
      <colorScale>
        <cfvo type="formula" val="1.2"/>
        <cfvo type="formula" val="4"/>
        <color rgb="FF0B5394"/>
        <color rgb="FFFFFFFF"/>
      </colorScale>
    </cfRule>
  </conditionalFormatting>
  <conditionalFormatting sqref="E3:E81">
    <cfRule type="colorScale" priority="79">
      <colorScale>
        <cfvo type="formula" val="65"/>
        <cfvo type="formula" val="100"/>
        <color rgb="FFD9D2E9"/>
        <color rgb="FF674EA7"/>
      </colorScale>
    </cfRule>
  </conditionalFormatting>
  <conditionalFormatting sqref="D3:D81">
    <cfRule type="containsText" dxfId="168" priority="80" operator="containsText" text="1.2">
      <formula>NOT(ISERROR(SEARCH(("1.2"),(D3))))</formula>
    </cfRule>
  </conditionalFormatting>
  <conditionalFormatting sqref="B3:B1053">
    <cfRule type="cellIs" dxfId="167" priority="81" operator="between">
      <formula>651</formula>
      <formula>900</formula>
    </cfRule>
  </conditionalFormatting>
  <conditionalFormatting sqref="D3:D81">
    <cfRule type="containsText" dxfId="166" priority="82" operator="containsText" text="1.4">
      <formula>NOT(ISERROR(SEARCH(("1.4"),(D3))))</formula>
    </cfRule>
  </conditionalFormatting>
  <conditionalFormatting sqref="D3:AA81">
    <cfRule type="containsText" dxfId="165" priority="83" operator="containsText" text="1.8">
      <formula>NOT(ISERROR(SEARCH(("1.8"),(D3))))</formula>
    </cfRule>
  </conditionalFormatting>
  <conditionalFormatting sqref="F1:F1058">
    <cfRule type="colorScale" priority="84">
      <colorScale>
        <cfvo type="min"/>
        <cfvo type="formula" val="150"/>
        <color rgb="FFEAD1DC"/>
        <color rgb="FFA64D79"/>
      </colorScale>
    </cfRule>
  </conditionalFormatting>
  <conditionalFormatting sqref="D3:D81">
    <cfRule type="colorScale" priority="85">
      <colorScale>
        <cfvo type="formula" val="1.2"/>
        <cfvo type="formula" val="4"/>
        <color rgb="FF0B5394"/>
        <color rgb="FFFFFFFF"/>
      </colorScale>
    </cfRule>
  </conditionalFormatting>
  <conditionalFormatting sqref="E3:E81">
    <cfRule type="colorScale" priority="86">
      <colorScale>
        <cfvo type="formula" val="65"/>
        <cfvo type="formula" val="100"/>
        <color rgb="FFD9D2E9"/>
        <color rgb="FF674EA7"/>
      </colorScale>
    </cfRule>
  </conditionalFormatting>
  <conditionalFormatting sqref="D3:D81">
    <cfRule type="containsText" dxfId="164" priority="87" operator="containsText" text="1.2">
      <formula>NOT(ISERROR(SEARCH(("1.2"),(D3))))</formula>
    </cfRule>
  </conditionalFormatting>
  <conditionalFormatting sqref="D12">
    <cfRule type="notContainsBlanks" dxfId="163" priority="88">
      <formula>LEN(TRIM(D12))&gt;0</formula>
    </cfRule>
  </conditionalFormatting>
  <conditionalFormatting sqref="D3:D81">
    <cfRule type="containsText" dxfId="162" priority="89" operator="containsText" text="1.4">
      <formula>NOT(ISERROR(SEARCH(("1.4"),(D3))))</formula>
    </cfRule>
  </conditionalFormatting>
  <conditionalFormatting sqref="D3:AA81">
    <cfRule type="containsText" dxfId="161" priority="90" operator="containsText" text="1.8">
      <formula>NOT(ISERROR(SEARCH(("1.8"),(D3))))</formula>
    </cfRule>
  </conditionalFormatting>
  <dataValidations count="1">
    <dataValidation type="list" allowBlank="1" sqref="S3:S151" xr:uid="{00000000-0002-0000-0900-000000000000}">
      <formula1>"Sony,Voigtlander,Zeiss,Sigma,Samyang,Viltrox,Tokina,Tamron"</formula1>
    </dataValidation>
  </dataValidations>
  <hyperlinks>
    <hyperlink ref="K1" r:id="rId1" xr:uid="{00000000-0004-0000-0900-000000000000}"/>
    <hyperlink ref="M1" r:id="rId2" xr:uid="{00000000-0004-0000-0900-000001000000}"/>
    <hyperlink ref="N1" r:id="rId3"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outlinePr summaryBelow="0" summaryRight="0"/>
  </sheetPr>
  <dimension ref="A1:U105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6.83203125" customWidth="1"/>
    <col min="2" max="2" width="6.5" customWidth="1"/>
    <col min="3" max="3" width="11" customWidth="1"/>
    <col min="4" max="4" width="8" customWidth="1"/>
    <col min="5" max="6" width="7.33203125" customWidth="1"/>
    <col min="7" max="7" width="4" customWidth="1"/>
    <col min="8" max="8" width="7.1640625" customWidth="1"/>
    <col min="9" max="9" width="4.5" customWidth="1"/>
    <col min="10" max="10" width="7.6640625" customWidth="1"/>
    <col min="11" max="14" width="4" customWidth="1"/>
    <col min="15" max="15" width="7.5" customWidth="1"/>
    <col min="16" max="16" width="5.5" customWidth="1"/>
    <col min="17" max="17" width="5" customWidth="1"/>
    <col min="18" max="18" width="6.1640625" customWidth="1"/>
    <col min="19" max="19" width="13.33203125" customWidth="1"/>
    <col min="20" max="20" width="5.83203125" customWidth="1"/>
  </cols>
  <sheetData>
    <row r="1" spans="1:21" ht="76.5" customHeight="1">
      <c r="A1" s="330" t="s">
        <v>0</v>
      </c>
      <c r="B1" s="3" t="s">
        <v>1</v>
      </c>
      <c r="C1" s="3" t="s">
        <v>223</v>
      </c>
      <c r="D1" s="4" t="s">
        <v>3</v>
      </c>
      <c r="E1" s="5" t="s">
        <v>4</v>
      </c>
      <c r="F1" s="6" t="s">
        <v>5</v>
      </c>
      <c r="G1" s="7" t="s">
        <v>6</v>
      </c>
      <c r="H1" s="8" t="s">
        <v>7</v>
      </c>
      <c r="I1" s="3" t="s">
        <v>8</v>
      </c>
      <c r="J1" s="9" t="s">
        <v>17</v>
      </c>
      <c r="K1" s="10" t="s">
        <v>18</v>
      </c>
      <c r="L1" s="11" t="s">
        <v>19</v>
      </c>
      <c r="M1" s="10" t="s">
        <v>20</v>
      </c>
      <c r="N1" s="12" t="s">
        <v>21</v>
      </c>
      <c r="O1" s="3" t="s">
        <v>10</v>
      </c>
      <c r="P1" s="5" t="s">
        <v>11</v>
      </c>
      <c r="Q1" s="3" t="s">
        <v>12</v>
      </c>
      <c r="R1" s="3" t="s">
        <v>13</v>
      </c>
      <c r="S1" s="3" t="s">
        <v>14</v>
      </c>
      <c r="T1" s="3" t="s">
        <v>15</v>
      </c>
      <c r="U1" s="13" t="s">
        <v>225</v>
      </c>
    </row>
    <row r="2" spans="1:21" ht="18" hidden="1" customHeight="1">
      <c r="A2" s="14" t="s">
        <v>23</v>
      </c>
      <c r="B2" s="15"/>
      <c r="C2" s="15"/>
      <c r="D2" s="15"/>
      <c r="E2" s="15"/>
      <c r="F2" s="15"/>
      <c r="G2" s="16"/>
      <c r="H2" s="17"/>
      <c r="I2" s="15"/>
      <c r="J2" s="15"/>
      <c r="K2" s="15"/>
      <c r="L2" s="15"/>
      <c r="M2" s="15"/>
      <c r="N2" s="15"/>
      <c r="O2" s="15"/>
      <c r="P2" s="16"/>
      <c r="Q2" s="15"/>
      <c r="R2" s="16"/>
      <c r="S2" s="18"/>
      <c r="T2" s="16"/>
    </row>
    <row r="3" spans="1:21" ht="13" hidden="1">
      <c r="A3" s="198" t="str">
        <f t="array" ref="A3:A13">All!A3:M36</f>
        <v>Zuiko Fisheye 8mm f2.8</v>
      </c>
      <c r="B3" s="60"/>
      <c r="C3" s="74"/>
      <c r="D3" s="64"/>
      <c r="E3" s="245"/>
      <c r="F3" s="322"/>
      <c r="G3" s="119"/>
      <c r="H3" s="72"/>
      <c r="I3" s="74"/>
      <c r="J3" s="74"/>
      <c r="K3" s="121"/>
      <c r="L3" s="121"/>
      <c r="M3" s="121"/>
      <c r="N3" s="121"/>
      <c r="O3" s="74"/>
      <c r="P3" s="70"/>
      <c r="Q3" s="74"/>
      <c r="R3" s="86"/>
      <c r="S3" s="74"/>
      <c r="T3" s="74"/>
    </row>
    <row r="4" spans="1:21" ht="15" hidden="1">
      <c r="A4" s="335" t="str">
        <v>Zuiko Full Frame Fisheye 16mm f2.5</v>
      </c>
      <c r="B4" s="60"/>
      <c r="C4" s="74"/>
      <c r="D4" s="64"/>
      <c r="E4" s="65"/>
      <c r="F4" s="65"/>
      <c r="G4" s="70"/>
      <c r="H4" s="72"/>
      <c r="I4" s="74"/>
      <c r="J4" s="74"/>
      <c r="K4" s="113"/>
      <c r="L4" s="113"/>
      <c r="M4" s="113"/>
      <c r="N4" s="113"/>
      <c r="O4" s="74"/>
      <c r="P4" s="70"/>
      <c r="Q4" s="74"/>
      <c r="R4" s="86"/>
      <c r="S4" s="74"/>
      <c r="T4" s="74"/>
    </row>
    <row r="5" spans="1:21" ht="13" hidden="1">
      <c r="A5" s="198" t="str">
        <v>Zuiko 18mm f3.5</v>
      </c>
      <c r="B5" s="60"/>
      <c r="C5" s="74"/>
      <c r="D5" s="64"/>
      <c r="E5" s="248"/>
      <c r="F5" s="324"/>
      <c r="G5" s="325"/>
      <c r="H5" s="72"/>
      <c r="I5" s="74"/>
      <c r="J5" s="74"/>
      <c r="K5" s="113"/>
      <c r="L5" s="113"/>
      <c r="M5" s="113"/>
      <c r="N5" s="113"/>
      <c r="O5" s="74"/>
      <c r="P5" s="70"/>
      <c r="Q5" s="74"/>
      <c r="R5" s="86"/>
      <c r="S5" s="74"/>
      <c r="T5" s="74"/>
    </row>
    <row r="6" spans="1:21" ht="13" hidden="1">
      <c r="A6" s="323" t="str">
        <v>Zuiko 21mm f2</v>
      </c>
      <c r="B6" s="60"/>
      <c r="C6" s="74"/>
      <c r="D6" s="100"/>
      <c r="E6" s="101"/>
      <c r="F6" s="118"/>
      <c r="G6" s="74"/>
      <c r="H6" s="72"/>
      <c r="I6" s="74"/>
      <c r="J6" s="74"/>
      <c r="K6" s="113"/>
      <c r="L6" s="113"/>
      <c r="M6" s="113"/>
      <c r="N6" s="113"/>
      <c r="O6" s="74"/>
      <c r="P6" s="70"/>
      <c r="Q6" s="74"/>
      <c r="R6" s="112"/>
      <c r="S6" s="74"/>
      <c r="T6" s="125"/>
    </row>
    <row r="7" spans="1:21" ht="13" hidden="1">
      <c r="A7" s="326" t="str">
        <v>Zuiko 21mm f3.5</v>
      </c>
      <c r="B7" s="60"/>
      <c r="C7" s="74"/>
      <c r="D7" s="64"/>
      <c r="E7" s="65"/>
      <c r="F7" s="118"/>
      <c r="G7" s="74"/>
      <c r="H7" s="72"/>
      <c r="I7" s="74"/>
      <c r="J7" s="74"/>
      <c r="K7" s="113"/>
      <c r="L7" s="113"/>
      <c r="M7" s="113"/>
      <c r="N7" s="113"/>
      <c r="O7" s="74"/>
      <c r="P7" s="70"/>
      <c r="Q7" s="74"/>
      <c r="R7" s="115"/>
      <c r="S7" s="74"/>
      <c r="T7" s="74"/>
    </row>
    <row r="8" spans="1:21" ht="13" hidden="1">
      <c r="A8" s="323" t="str">
        <v>Zuiko 24mm f2.0</v>
      </c>
      <c r="B8" s="60"/>
      <c r="C8" s="74"/>
      <c r="D8" s="64"/>
      <c r="E8" s="65"/>
      <c r="F8" s="65"/>
      <c r="G8" s="74"/>
      <c r="H8" s="72"/>
      <c r="I8" s="74"/>
      <c r="J8" s="74"/>
      <c r="K8" s="113"/>
      <c r="L8" s="113"/>
      <c r="M8" s="113"/>
      <c r="N8" s="113"/>
      <c r="O8" s="74"/>
      <c r="P8" s="70"/>
      <c r="Q8" s="74"/>
      <c r="R8" s="112"/>
      <c r="S8" s="74"/>
      <c r="T8" s="125"/>
    </row>
    <row r="9" spans="1:21" ht="13" hidden="1">
      <c r="A9" s="198" t="str">
        <v>Zuiko 24mm f2.8</v>
      </c>
      <c r="B9" s="60"/>
      <c r="C9" s="74"/>
      <c r="D9" s="64"/>
      <c r="E9" s="248"/>
      <c r="F9" s="324"/>
      <c r="G9" s="325"/>
      <c r="H9" s="72"/>
      <c r="I9" s="74"/>
      <c r="J9" s="74"/>
      <c r="K9" s="113"/>
      <c r="L9" s="113"/>
      <c r="M9" s="113"/>
      <c r="N9" s="113"/>
      <c r="O9" s="74"/>
      <c r="P9" s="70"/>
      <c r="Q9" s="74"/>
      <c r="R9" s="136"/>
      <c r="S9" s="74"/>
      <c r="T9" s="74"/>
    </row>
    <row r="10" spans="1:21" ht="13" hidden="1">
      <c r="A10" s="198" t="str">
        <v>Zuiko SHIFT 24mm f3.5</v>
      </c>
      <c r="B10" s="60"/>
      <c r="C10" s="74"/>
      <c r="D10" s="64"/>
      <c r="E10" s="65"/>
      <c r="F10" s="65"/>
      <c r="G10" s="70"/>
      <c r="H10" s="72"/>
      <c r="I10" s="74"/>
      <c r="J10" s="74"/>
      <c r="K10" s="121"/>
      <c r="L10" s="121"/>
      <c r="M10" s="121"/>
      <c r="N10" s="121"/>
      <c r="O10" s="74"/>
      <c r="P10" s="134"/>
      <c r="Q10" s="74"/>
      <c r="R10" s="136"/>
      <c r="S10" s="74"/>
      <c r="T10" s="74"/>
    </row>
    <row r="11" spans="1:21" ht="13" hidden="1">
      <c r="A11" s="323" t="str">
        <v>Zuiko 28mm f2.0</v>
      </c>
      <c r="B11" s="60"/>
      <c r="C11" s="74"/>
      <c r="D11" s="64"/>
      <c r="E11" s="65"/>
      <c r="F11" s="65"/>
      <c r="G11" s="70"/>
      <c r="H11" s="72"/>
      <c r="I11" s="74"/>
      <c r="J11" s="74"/>
      <c r="K11" s="113"/>
      <c r="L11" s="113"/>
      <c r="M11" s="113"/>
      <c r="N11" s="113"/>
      <c r="O11" s="74"/>
      <c r="P11" s="70"/>
      <c r="Q11" s="74"/>
      <c r="R11" s="136"/>
      <c r="S11" s="74"/>
      <c r="T11" s="74"/>
    </row>
    <row r="12" spans="1:21" ht="13" hidden="1">
      <c r="A12" s="572" t="str">
        <v>G.Zuiko 28mm f3.5</v>
      </c>
      <c r="B12" s="60"/>
      <c r="C12" s="74"/>
      <c r="D12" s="64"/>
      <c r="E12" s="152"/>
      <c r="F12" s="65"/>
      <c r="G12" s="70"/>
      <c r="H12" s="72"/>
      <c r="I12" s="74"/>
      <c r="J12" s="573"/>
      <c r="K12" s="113"/>
      <c r="L12" s="113"/>
      <c r="M12" s="113"/>
      <c r="N12" s="113"/>
      <c r="O12" s="74"/>
      <c r="P12" s="70"/>
      <c r="Q12" s="74"/>
      <c r="R12" s="136"/>
      <c r="S12" s="74"/>
      <c r="T12" s="74"/>
    </row>
    <row r="13" spans="1:21" ht="13" hidden="1">
      <c r="A13" s="126" t="str">
        <v>Zuiko 28mm f2.8</v>
      </c>
      <c r="B13" s="60">
        <v>375</v>
      </c>
      <c r="C13" s="67">
        <v>10</v>
      </c>
      <c r="D13" s="64">
        <v>5.6</v>
      </c>
      <c r="E13" s="245">
        <v>67</v>
      </c>
      <c r="F13" s="246" t="s">
        <v>24</v>
      </c>
      <c r="G13" s="247" t="s">
        <v>25</v>
      </c>
      <c r="H13" s="72" t="s">
        <v>26</v>
      </c>
      <c r="I13" s="74">
        <v>6.7000000000000004E-2</v>
      </c>
      <c r="J13" s="76">
        <v>1099</v>
      </c>
      <c r="K13" s="79" t="str">
        <f>HYPERLINK("https://amzn.to/2jJ8WxH","link*")</f>
        <v>link*</v>
      </c>
      <c r="L13" s="79" t="str">
        <f>HYPERLINK("https://www.bhphotovideo.com/c/product/1219550-REG/voigtlander_ba334b_heliar_hyper_wide_10mm_f_5_6.html/BI/19619/KBID/12129/DFF/d10-v21-t1-x732282/SID/EZ","link*")</f>
        <v>link*</v>
      </c>
      <c r="M13" s="79" t="str">
        <f>HYPERLINK("https://amzn.to/2jG72hr","link*")</f>
        <v>link*</v>
      </c>
      <c r="N13" s="79"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O13" s="84">
        <v>30</v>
      </c>
      <c r="P13" s="70" t="s">
        <v>27</v>
      </c>
      <c r="Q13" s="74">
        <v>10</v>
      </c>
      <c r="R13" s="86" t="s">
        <v>28</v>
      </c>
      <c r="S13" s="74" t="s">
        <v>29</v>
      </c>
      <c r="T13" s="88">
        <v>42552</v>
      </c>
      <c r="U13" s="77" t="s">
        <v>34</v>
      </c>
    </row>
    <row r="14" spans="1:21" ht="15.75" hidden="1" customHeight="1">
      <c r="A14" s="323"/>
      <c r="B14" s="60"/>
      <c r="C14" s="74"/>
      <c r="D14" s="165"/>
      <c r="E14" s="65"/>
      <c r="F14" s="65"/>
      <c r="G14" s="74"/>
      <c r="H14" s="72"/>
      <c r="I14" s="74"/>
      <c r="J14" s="74"/>
      <c r="K14" s="113"/>
      <c r="L14" s="113"/>
      <c r="M14" s="113"/>
      <c r="N14" s="113"/>
      <c r="O14" s="74"/>
      <c r="P14" s="70"/>
      <c r="Q14" s="74"/>
      <c r="R14" s="112"/>
      <c r="S14" s="74"/>
      <c r="T14" s="125"/>
    </row>
    <row r="15" spans="1:21" ht="13" hidden="1">
      <c r="A15" s="323"/>
      <c r="B15" s="60"/>
      <c r="C15" s="74"/>
      <c r="D15" s="100"/>
      <c r="E15" s="65"/>
      <c r="F15" s="65"/>
      <c r="G15" s="328"/>
      <c r="H15" s="72"/>
      <c r="I15" s="74"/>
      <c r="J15" s="74"/>
      <c r="K15" s="113"/>
      <c r="L15" s="113"/>
      <c r="M15" s="113"/>
      <c r="N15" s="113"/>
      <c r="O15" s="74"/>
      <c r="P15" s="70"/>
      <c r="Q15" s="74"/>
      <c r="R15" s="112"/>
      <c r="S15" s="74"/>
      <c r="T15" s="125"/>
    </row>
    <row r="16" spans="1:21" ht="13" hidden="1">
      <c r="A16" s="198"/>
      <c r="B16" s="60"/>
      <c r="C16" s="74"/>
      <c r="D16" s="173"/>
      <c r="E16" s="248"/>
      <c r="F16" s="65"/>
      <c r="G16" s="325"/>
      <c r="H16" s="72"/>
      <c r="I16" s="74"/>
      <c r="J16" s="574"/>
      <c r="K16" s="121"/>
      <c r="L16" s="121"/>
      <c r="M16" s="121"/>
      <c r="N16" s="121"/>
      <c r="O16" s="74"/>
      <c r="P16" s="70"/>
      <c r="Q16" s="74"/>
      <c r="R16" s="136"/>
      <c r="S16" s="74"/>
      <c r="T16" s="125"/>
    </row>
    <row r="17" spans="1:21" ht="13" hidden="1">
      <c r="A17" s="323"/>
      <c r="B17" s="60"/>
      <c r="C17" s="74"/>
      <c r="D17" s="173"/>
      <c r="E17" s="152"/>
      <c r="F17" s="65"/>
      <c r="G17" s="70"/>
      <c r="H17" s="72"/>
      <c r="I17" s="74"/>
      <c r="J17" s="74"/>
      <c r="K17" s="113"/>
      <c r="L17" s="113"/>
      <c r="M17" s="113"/>
      <c r="N17" s="113"/>
      <c r="O17" s="74"/>
      <c r="P17" s="70"/>
      <c r="Q17" s="74"/>
      <c r="R17" s="136"/>
      <c r="S17" s="74"/>
      <c r="T17" s="125"/>
    </row>
    <row r="18" spans="1:21" ht="13" hidden="1">
      <c r="A18" s="572"/>
      <c r="B18" s="60"/>
      <c r="C18" s="74"/>
      <c r="D18" s="192"/>
      <c r="E18" s="152"/>
      <c r="F18" s="65"/>
      <c r="G18" s="70"/>
      <c r="H18" s="72"/>
      <c r="I18" s="74"/>
      <c r="J18" s="74"/>
      <c r="K18" s="113"/>
      <c r="L18" s="113"/>
      <c r="M18" s="113"/>
      <c r="N18" s="113"/>
      <c r="O18" s="74"/>
      <c r="P18" s="70"/>
      <c r="Q18" s="74"/>
      <c r="R18" s="136"/>
      <c r="S18" s="74"/>
      <c r="T18" s="74"/>
    </row>
    <row r="19" spans="1:21" ht="13" hidden="1">
      <c r="A19" s="58" t="s">
        <v>35</v>
      </c>
      <c r="B19" s="60">
        <v>565</v>
      </c>
      <c r="C19" s="67">
        <v>12</v>
      </c>
      <c r="D19" s="64">
        <v>4</v>
      </c>
      <c r="E19" s="65">
        <v>87</v>
      </c>
      <c r="F19" s="67">
        <v>117</v>
      </c>
      <c r="G19" s="70" t="s">
        <v>36</v>
      </c>
      <c r="H19" s="72" t="s">
        <v>26</v>
      </c>
      <c r="I19" s="74">
        <v>0.14000000000000001</v>
      </c>
      <c r="J19" s="76">
        <v>1699</v>
      </c>
      <c r="K19" s="79" t="str">
        <f>HYPERLINK("https://amzn.to/2SSzKc4","link*")</f>
        <v>link*</v>
      </c>
      <c r="L19" s="79" t="str">
        <f>HYPERLINK("https://www.bhphotovideo.com/c/product/1338517-REG/sony_sel1224g_fe_12_24mm_f_4_g.html/BI/19619/KBID/12129/DFF/d10-v21-t1-x822838/SID/EZ","link*")</f>
        <v>link*</v>
      </c>
      <c r="M19" s="79" t="str">
        <f>HYPERLINK("https://amzn.to/2Kg94zb","link*")</f>
        <v>link*</v>
      </c>
      <c r="N19" s="79"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19" s="84">
        <v>24</v>
      </c>
      <c r="P19" s="70" t="s">
        <v>27</v>
      </c>
      <c r="Q19" s="74">
        <v>7</v>
      </c>
      <c r="R19" s="86" t="s">
        <v>40</v>
      </c>
      <c r="S19" s="74" t="s">
        <v>41</v>
      </c>
      <c r="T19" s="88">
        <v>42856</v>
      </c>
    </row>
    <row r="20" spans="1:21" ht="13" hidden="1">
      <c r="A20" s="198"/>
      <c r="B20" s="60"/>
      <c r="C20" s="74"/>
      <c r="D20" s="64"/>
      <c r="E20" s="65"/>
      <c r="F20" s="381"/>
      <c r="G20" s="325"/>
      <c r="H20" s="72"/>
      <c r="I20" s="125"/>
      <c r="J20" s="74"/>
      <c r="K20" s="121"/>
      <c r="L20" s="121"/>
      <c r="M20" s="113"/>
      <c r="N20" s="121"/>
      <c r="O20" s="74"/>
      <c r="P20" s="70"/>
      <c r="Q20" s="74"/>
      <c r="R20" s="136"/>
      <c r="S20" s="74"/>
      <c r="T20" s="74"/>
    </row>
    <row r="21" spans="1:21" ht="13" hidden="1">
      <c r="A21" s="198"/>
      <c r="B21" s="60"/>
      <c r="C21" s="74"/>
      <c r="D21" s="192"/>
      <c r="E21" s="65"/>
      <c r="F21" s="65"/>
      <c r="G21" s="70"/>
      <c r="H21" s="72"/>
      <c r="I21" s="74"/>
      <c r="J21" s="74"/>
      <c r="K21" s="113"/>
      <c r="L21" s="113"/>
      <c r="M21" s="113"/>
      <c r="N21" s="113"/>
      <c r="O21" s="74"/>
      <c r="P21" s="70"/>
      <c r="Q21" s="74"/>
      <c r="R21" s="136"/>
      <c r="S21" s="74"/>
      <c r="T21" s="74"/>
    </row>
    <row r="22" spans="1:21" ht="13" hidden="1">
      <c r="A22" s="323"/>
      <c r="B22" s="60"/>
      <c r="C22" s="74"/>
      <c r="D22" s="192"/>
      <c r="E22" s="65"/>
      <c r="F22" s="65"/>
      <c r="G22" s="74"/>
      <c r="H22" s="72"/>
      <c r="I22" s="74"/>
      <c r="J22" s="74"/>
      <c r="K22" s="113"/>
      <c r="L22" s="113"/>
      <c r="M22" s="113"/>
      <c r="N22" s="113"/>
      <c r="O22" s="74"/>
      <c r="P22" s="70"/>
      <c r="Q22" s="74"/>
      <c r="R22" s="112"/>
      <c r="S22" s="74"/>
      <c r="T22" s="125"/>
    </row>
    <row r="23" spans="1:21" ht="13" hidden="1">
      <c r="A23" s="198"/>
      <c r="B23" s="60"/>
      <c r="C23" s="74"/>
      <c r="D23" s="64"/>
      <c r="E23" s="65"/>
      <c r="F23" s="65"/>
      <c r="G23" s="70"/>
      <c r="H23" s="72"/>
      <c r="I23" s="74"/>
      <c r="J23" s="574"/>
      <c r="K23" s="121"/>
      <c r="L23" s="121"/>
      <c r="M23" s="121"/>
      <c r="N23" s="113"/>
      <c r="O23" s="74"/>
      <c r="P23" s="70"/>
      <c r="Q23" s="74"/>
      <c r="R23" s="136"/>
      <c r="S23" s="74"/>
      <c r="T23" s="125"/>
    </row>
    <row r="24" spans="1:21" ht="13" hidden="1">
      <c r="A24" s="198"/>
      <c r="B24" s="60"/>
      <c r="C24" s="74"/>
      <c r="D24" s="64"/>
      <c r="E24" s="65"/>
      <c r="F24" s="65"/>
      <c r="G24" s="70"/>
      <c r="H24" s="72"/>
      <c r="I24" s="201"/>
      <c r="J24" s="74"/>
      <c r="K24" s="113"/>
      <c r="L24" s="113"/>
      <c r="M24" s="113"/>
      <c r="N24" s="113"/>
      <c r="O24" s="74"/>
      <c r="P24" s="70"/>
      <c r="Q24" s="74"/>
      <c r="R24" s="136"/>
      <c r="S24" s="74"/>
      <c r="T24" s="74"/>
    </row>
    <row r="25" spans="1:21" ht="13" hidden="1">
      <c r="A25" s="323"/>
      <c r="B25" s="60"/>
      <c r="C25" s="74"/>
      <c r="D25" s="64"/>
      <c r="E25" s="65"/>
      <c r="F25" s="65"/>
      <c r="G25" s="70"/>
      <c r="H25" s="72"/>
      <c r="I25" s="201"/>
      <c r="J25" s="74"/>
      <c r="K25" s="121"/>
      <c r="L25" s="113"/>
      <c r="M25" s="121"/>
      <c r="N25" s="121"/>
      <c r="O25" s="74"/>
      <c r="P25" s="134"/>
      <c r="Q25" s="74"/>
      <c r="R25" s="136"/>
      <c r="S25" s="74"/>
      <c r="T25" s="74"/>
    </row>
    <row r="26" spans="1:21" ht="13" hidden="1">
      <c r="A26" s="323"/>
      <c r="B26" s="60"/>
      <c r="C26" s="74"/>
      <c r="D26" s="64"/>
      <c r="E26" s="65"/>
      <c r="F26" s="65"/>
      <c r="G26" s="70"/>
      <c r="H26" s="72"/>
      <c r="I26" s="201"/>
      <c r="J26" s="74"/>
      <c r="K26" s="113"/>
      <c r="L26" s="113"/>
      <c r="M26" s="113"/>
      <c r="N26" s="113"/>
      <c r="O26" s="74"/>
      <c r="P26" s="134"/>
      <c r="Q26" s="74"/>
      <c r="R26" s="136"/>
      <c r="S26" s="74"/>
      <c r="T26" s="74"/>
    </row>
    <row r="27" spans="1:21" ht="13" hidden="1">
      <c r="A27" s="198"/>
      <c r="B27" s="60"/>
      <c r="C27" s="74"/>
      <c r="D27" s="64"/>
      <c r="E27" s="65"/>
      <c r="F27" s="65"/>
      <c r="G27" s="70"/>
      <c r="H27" s="72"/>
      <c r="I27" s="74"/>
      <c r="J27" s="74"/>
      <c r="K27" s="121"/>
      <c r="L27" s="113"/>
      <c r="M27" s="121"/>
      <c r="N27" s="121"/>
      <c r="O27" s="74"/>
      <c r="P27" s="134"/>
      <c r="Q27" s="74"/>
      <c r="R27" s="136"/>
      <c r="S27" s="74"/>
      <c r="T27" s="74"/>
    </row>
    <row r="28" spans="1:21" ht="13" hidden="1">
      <c r="A28" s="126" t="str">
        <f>HYPERLINK("https://phillipreeve.net/blog/review-voigtlander-12mm-5-6-aspherical-ultra-wide-heliar/","Voigtlander 12mm F5.6 Ultra Wide-Heliar Aspherical")</f>
        <v>Voigtlander 12mm F5.6 Ultra Wide-Heliar Aspherical</v>
      </c>
      <c r="B28" s="60">
        <v>350</v>
      </c>
      <c r="C28" s="67">
        <v>12</v>
      </c>
      <c r="D28" s="64">
        <v>5.6</v>
      </c>
      <c r="E28" s="248">
        <v>67</v>
      </c>
      <c r="F28" s="246">
        <v>68</v>
      </c>
      <c r="G28" s="70" t="s">
        <v>25</v>
      </c>
      <c r="H28" s="72" t="s">
        <v>26</v>
      </c>
      <c r="I28" s="74"/>
      <c r="J28" s="76">
        <v>749</v>
      </c>
      <c r="K28" s="113"/>
      <c r="L28" s="113"/>
      <c r="M28" s="113"/>
      <c r="N28" s="79"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O28" s="84">
        <v>30</v>
      </c>
      <c r="P28" s="70" t="s">
        <v>27</v>
      </c>
      <c r="Q28" s="74">
        <v>10</v>
      </c>
      <c r="R28" s="86" t="s">
        <v>43</v>
      </c>
      <c r="S28" s="74" t="s">
        <v>29</v>
      </c>
      <c r="T28" s="88">
        <v>42583</v>
      </c>
      <c r="U28" s="77" t="s">
        <v>46</v>
      </c>
    </row>
    <row r="29" spans="1:21" ht="13" hidden="1">
      <c r="A29" s="58" t="s">
        <v>45</v>
      </c>
      <c r="B29" s="60">
        <v>1170</v>
      </c>
      <c r="C29" s="67">
        <v>14</v>
      </c>
      <c r="D29" s="100">
        <v>1.8</v>
      </c>
      <c r="E29" s="101">
        <v>95</v>
      </c>
      <c r="F29" s="103">
        <v>126</v>
      </c>
      <c r="G29" s="74" t="s">
        <v>36</v>
      </c>
      <c r="H29" s="72" t="s">
        <v>26</v>
      </c>
      <c r="I29" s="74">
        <v>0.1</v>
      </c>
      <c r="J29" s="76">
        <v>1599</v>
      </c>
      <c r="K29" s="79" t="str">
        <f>HYPERLINK("https://amzn.to/2SOWTvV","link*")</f>
        <v>link*</v>
      </c>
      <c r="L29" s="79" t="str">
        <f>HYPERLINK("https://www.bhphotovideo.com/c/product/1393489-REG/sigma_14mm_f_1_8_dg_hsm.html/BI/19619/KBID/12129/DFF/d10-v21-t1-x881154/SID/EZ","link*")</f>
        <v>link*</v>
      </c>
      <c r="M29" s="79" t="str">
        <f>HYPERLINK("https://amzn.to/2ZDl4QJ","link*")</f>
        <v>link*</v>
      </c>
      <c r="N29" s="79"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O29" s="84">
        <v>27</v>
      </c>
      <c r="P29" s="70" t="s">
        <v>27</v>
      </c>
      <c r="Q29" s="74">
        <v>9</v>
      </c>
      <c r="R29" s="112">
        <v>43785</v>
      </c>
      <c r="S29" s="74" t="s">
        <v>47</v>
      </c>
      <c r="T29" s="88">
        <v>43221</v>
      </c>
      <c r="U29" s="77" t="s">
        <v>48</v>
      </c>
    </row>
    <row r="30" spans="1:21" ht="13" hidden="1">
      <c r="A30" s="323"/>
      <c r="B30" s="60"/>
      <c r="C30" s="74"/>
      <c r="D30" s="64"/>
      <c r="E30" s="65"/>
      <c r="F30" s="65"/>
      <c r="G30" s="70"/>
      <c r="H30" s="72"/>
      <c r="I30" s="74"/>
      <c r="J30" s="573"/>
      <c r="K30" s="113"/>
      <c r="L30" s="113"/>
      <c r="M30" s="113"/>
      <c r="N30" s="113"/>
      <c r="O30" s="74"/>
      <c r="P30" s="70"/>
      <c r="Q30" s="74"/>
      <c r="R30" s="136"/>
      <c r="S30" s="74"/>
      <c r="T30" s="74"/>
    </row>
    <row r="31" spans="1:21" ht="13" hidden="1">
      <c r="A31" s="198"/>
      <c r="B31" s="60"/>
      <c r="C31" s="74"/>
      <c r="D31" s="64"/>
      <c r="E31" s="65"/>
      <c r="F31" s="65"/>
      <c r="G31" s="70"/>
      <c r="H31" s="72"/>
      <c r="I31" s="74"/>
      <c r="J31" s="573"/>
      <c r="K31" s="113"/>
      <c r="L31" s="113"/>
      <c r="M31" s="113"/>
      <c r="N31" s="113"/>
      <c r="O31" s="74"/>
      <c r="P31" s="70"/>
      <c r="Q31" s="74"/>
      <c r="R31" s="136"/>
      <c r="S31" s="74"/>
      <c r="T31" s="74"/>
    </row>
    <row r="32" spans="1:21" ht="13" hidden="1">
      <c r="A32" s="198"/>
      <c r="B32" s="60"/>
      <c r="C32" s="74"/>
      <c r="D32" s="64"/>
      <c r="E32" s="65"/>
      <c r="F32" s="65"/>
      <c r="G32" s="70"/>
      <c r="H32" s="72"/>
      <c r="I32" s="201"/>
      <c r="J32" s="573"/>
      <c r="K32" s="113"/>
      <c r="L32" s="113"/>
      <c r="M32" s="113"/>
      <c r="N32" s="113"/>
      <c r="O32" s="74"/>
      <c r="P32" s="70"/>
      <c r="Q32" s="74"/>
      <c r="R32" s="136"/>
      <c r="S32" s="74"/>
      <c r="T32" s="125"/>
    </row>
    <row r="33" spans="1:21" ht="13" hidden="1">
      <c r="A33" s="323"/>
      <c r="B33" s="60"/>
      <c r="C33" s="74"/>
      <c r="D33" s="64"/>
      <c r="E33" s="65"/>
      <c r="F33" s="65"/>
      <c r="G33" s="70"/>
      <c r="H33" s="72"/>
      <c r="I33" s="125"/>
      <c r="J33" s="74"/>
      <c r="K33" s="113"/>
      <c r="L33" s="113"/>
      <c r="M33" s="113"/>
      <c r="N33" s="113"/>
      <c r="O33" s="125"/>
      <c r="P33" s="134"/>
      <c r="Q33" s="125"/>
      <c r="R33" s="86"/>
      <c r="S33" s="74"/>
      <c r="T33" s="74"/>
    </row>
    <row r="34" spans="1:21" ht="13" hidden="1">
      <c r="A34" s="323"/>
      <c r="B34" s="60"/>
      <c r="C34" s="74"/>
      <c r="D34" s="64"/>
      <c r="E34" s="65"/>
      <c r="F34" s="65"/>
      <c r="G34" s="70"/>
      <c r="H34" s="234"/>
      <c r="I34" s="125"/>
      <c r="J34" s="74"/>
      <c r="K34" s="113"/>
      <c r="L34" s="113"/>
      <c r="M34" s="113"/>
      <c r="N34" s="113"/>
      <c r="O34" s="125"/>
      <c r="P34" s="134"/>
      <c r="Q34" s="125"/>
      <c r="R34" s="86"/>
      <c r="S34" s="74"/>
      <c r="T34" s="74"/>
    </row>
    <row r="35" spans="1:21" ht="15.75" hidden="1" customHeight="1">
      <c r="A35" s="337"/>
      <c r="B35" s="60"/>
      <c r="C35" s="74"/>
      <c r="D35" s="235"/>
      <c r="E35" s="65"/>
      <c r="F35" s="65"/>
      <c r="G35" s="74"/>
      <c r="H35" s="236"/>
      <c r="I35" s="74"/>
      <c r="J35" s="74"/>
      <c r="K35" s="113"/>
      <c r="L35" s="113"/>
      <c r="M35" s="113"/>
      <c r="N35" s="113"/>
      <c r="O35" s="74"/>
      <c r="P35" s="70"/>
      <c r="Q35" s="74"/>
      <c r="R35" s="112"/>
      <c r="S35" s="74"/>
      <c r="T35" s="74"/>
    </row>
    <row r="36" spans="1:21" ht="13" hidden="1">
      <c r="A36" s="198"/>
      <c r="B36" s="60"/>
      <c r="C36" s="74"/>
      <c r="D36" s="64"/>
      <c r="E36" s="65"/>
      <c r="F36" s="65"/>
      <c r="G36" s="74"/>
      <c r="H36" s="72"/>
      <c r="I36" s="74"/>
      <c r="J36" s="74"/>
      <c r="K36" s="113"/>
      <c r="L36" s="113"/>
      <c r="M36" s="113"/>
      <c r="N36" s="113"/>
      <c r="O36" s="74"/>
      <c r="P36" s="70"/>
      <c r="Q36" s="74"/>
      <c r="R36" s="112"/>
      <c r="S36" s="74"/>
      <c r="T36" s="74"/>
    </row>
    <row r="37" spans="1:21" ht="13" hidden="1">
      <c r="A37" s="323"/>
      <c r="B37" s="60"/>
      <c r="C37" s="74"/>
      <c r="D37" s="64"/>
      <c r="E37" s="65"/>
      <c r="F37" s="65"/>
      <c r="G37" s="74"/>
      <c r="H37" s="72"/>
      <c r="I37" s="74"/>
      <c r="J37" s="74"/>
      <c r="K37" s="113"/>
      <c r="L37" s="113"/>
      <c r="M37" s="113"/>
      <c r="N37" s="113"/>
      <c r="O37" s="74"/>
      <c r="P37" s="70"/>
      <c r="Q37" s="74"/>
      <c r="R37" s="112"/>
      <c r="S37" s="74"/>
      <c r="T37" s="125"/>
    </row>
    <row r="38" spans="1:21" ht="13" hidden="1">
      <c r="A38" s="198"/>
      <c r="B38" s="60"/>
      <c r="C38" s="74"/>
      <c r="D38" s="64"/>
      <c r="E38" s="65"/>
      <c r="F38" s="65"/>
      <c r="G38" s="328"/>
      <c r="H38" s="72"/>
      <c r="I38" s="74"/>
      <c r="J38" s="74"/>
      <c r="K38" s="113"/>
      <c r="L38" s="113"/>
      <c r="M38" s="113"/>
      <c r="N38" s="113"/>
      <c r="O38" s="74"/>
      <c r="P38" s="70"/>
      <c r="Q38" s="74"/>
      <c r="R38" s="112"/>
      <c r="S38" s="74"/>
      <c r="T38" s="74"/>
    </row>
    <row r="39" spans="1:21" ht="15.75" hidden="1" customHeight="1">
      <c r="A39" s="323"/>
      <c r="B39" s="60"/>
      <c r="C39" s="74"/>
      <c r="D39" s="64"/>
      <c r="E39" s="65"/>
      <c r="F39" s="65"/>
      <c r="G39" s="74"/>
      <c r="H39" s="72"/>
      <c r="I39" s="74"/>
      <c r="J39" s="573"/>
      <c r="K39" s="113"/>
      <c r="L39" s="113"/>
      <c r="M39" s="113"/>
      <c r="N39" s="113"/>
      <c r="O39" s="74"/>
      <c r="P39" s="70"/>
      <c r="Q39" s="74"/>
      <c r="R39" s="112"/>
      <c r="S39" s="74"/>
      <c r="T39" s="125"/>
    </row>
    <row r="40" spans="1:21" ht="13" hidden="1">
      <c r="A40" s="323"/>
      <c r="B40" s="60"/>
      <c r="C40" s="74"/>
      <c r="D40" s="64"/>
      <c r="E40" s="65"/>
      <c r="F40" s="65"/>
      <c r="G40" s="74"/>
      <c r="H40" s="72"/>
      <c r="I40" s="239"/>
      <c r="J40" s="74"/>
      <c r="K40" s="113"/>
      <c r="L40" s="113"/>
      <c r="M40" s="113"/>
      <c r="N40" s="113"/>
      <c r="O40" s="74"/>
      <c r="P40" s="70"/>
      <c r="Q40" s="74"/>
      <c r="R40" s="112"/>
      <c r="S40" s="74"/>
      <c r="T40" s="74"/>
    </row>
    <row r="41" spans="1:21" ht="13" hidden="1">
      <c r="A41" s="58" t="s">
        <v>49</v>
      </c>
      <c r="B41" s="60">
        <v>795</v>
      </c>
      <c r="C41" s="67">
        <v>14</v>
      </c>
      <c r="D41" s="64">
        <v>2.8</v>
      </c>
      <c r="E41" s="65">
        <v>85</v>
      </c>
      <c r="F41" s="103">
        <v>131</v>
      </c>
      <c r="G41" s="74" t="s">
        <v>36</v>
      </c>
      <c r="H41" s="72" t="s">
        <v>26</v>
      </c>
      <c r="I41" s="74">
        <v>0.14000000000000001</v>
      </c>
      <c r="J41" s="76">
        <v>1399</v>
      </c>
      <c r="K41" s="79" t="str">
        <f>HYPERLINK("https://amzn.to/2zt8rMC","link*")</f>
        <v>link*</v>
      </c>
      <c r="L41" s="79" t="str">
        <f>HYPERLINK("https://www.bhphotovideo.com/c/product/1492972-REG/sigma_213965_14_24mm_f_2_8_dg_dn.html/BI/19619/KBID/12129/DFF/d10-v21-t1-x976041/SID/EZ","link*")</f>
        <v>link*</v>
      </c>
      <c r="M41" s="113" t="s">
        <v>51</v>
      </c>
      <c r="N41" s="79"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O41" s="84">
        <v>28</v>
      </c>
      <c r="P41" s="70" t="s">
        <v>27</v>
      </c>
      <c r="Q41" s="74">
        <v>11</v>
      </c>
      <c r="R41" s="115" t="s">
        <v>54</v>
      </c>
      <c r="S41" s="74" t="s">
        <v>47</v>
      </c>
      <c r="T41" s="88">
        <v>43739</v>
      </c>
      <c r="U41" s="77" t="s">
        <v>55</v>
      </c>
    </row>
    <row r="42" spans="1:21" ht="13" hidden="1">
      <c r="A42" s="198"/>
      <c r="B42" s="60"/>
      <c r="C42" s="74"/>
      <c r="D42" s="64"/>
      <c r="E42" s="65"/>
      <c r="F42" s="65"/>
      <c r="G42" s="74"/>
      <c r="H42" s="72"/>
      <c r="I42" s="74"/>
      <c r="J42" s="74"/>
      <c r="K42" s="113"/>
      <c r="L42" s="113"/>
      <c r="M42" s="113"/>
      <c r="N42" s="113"/>
      <c r="O42" s="74"/>
      <c r="P42" s="70"/>
      <c r="Q42" s="74"/>
      <c r="R42" s="112"/>
      <c r="S42" s="74"/>
      <c r="T42" s="74"/>
    </row>
    <row r="43" spans="1:21" ht="13" hidden="1">
      <c r="A43" s="323"/>
      <c r="B43" s="60"/>
      <c r="C43" s="74"/>
      <c r="D43" s="64"/>
      <c r="E43" s="65"/>
      <c r="F43" s="65"/>
      <c r="G43" s="74"/>
      <c r="H43" s="72"/>
      <c r="I43" s="74"/>
      <c r="J43" s="604"/>
      <c r="K43" s="113"/>
      <c r="L43" s="113"/>
      <c r="M43" s="113"/>
      <c r="N43" s="113"/>
      <c r="O43" s="74"/>
      <c r="P43" s="70"/>
      <c r="Q43" s="74"/>
      <c r="R43" s="112"/>
      <c r="S43" s="74"/>
      <c r="T43" s="74"/>
    </row>
    <row r="44" spans="1:21" ht="13" hidden="1">
      <c r="A44" s="323"/>
      <c r="B44" s="60"/>
      <c r="C44" s="74"/>
      <c r="D44" s="304"/>
      <c r="E44" s="65"/>
      <c r="F44" s="65"/>
      <c r="G44" s="328"/>
      <c r="H44" s="72"/>
      <c r="I44" s="74"/>
      <c r="J44" s="74"/>
      <c r="K44" s="113"/>
      <c r="L44" s="113"/>
      <c r="M44" s="113"/>
      <c r="N44" s="113"/>
      <c r="O44" s="74"/>
      <c r="P44" s="70"/>
      <c r="Q44" s="74"/>
      <c r="R44" s="112"/>
      <c r="S44" s="74"/>
      <c r="T44" s="74"/>
    </row>
    <row r="45" spans="1:21" ht="13" hidden="1">
      <c r="A45" s="323"/>
      <c r="B45" s="60"/>
      <c r="C45" s="74"/>
      <c r="D45" s="64"/>
      <c r="E45" s="463"/>
      <c r="F45" s="463"/>
      <c r="G45" s="74"/>
      <c r="H45" s="244"/>
      <c r="I45" s="74"/>
      <c r="J45" s="74"/>
      <c r="K45" s="113"/>
      <c r="L45" s="113"/>
      <c r="M45" s="113"/>
      <c r="N45" s="113"/>
      <c r="O45" s="74"/>
      <c r="P45" s="70"/>
      <c r="Q45" s="74"/>
      <c r="R45" s="112"/>
      <c r="S45" s="74"/>
      <c r="T45" s="125"/>
    </row>
    <row r="46" spans="1:21" ht="13" hidden="1">
      <c r="A46" s="58" t="s">
        <v>56</v>
      </c>
      <c r="B46" s="60">
        <v>505</v>
      </c>
      <c r="C46" s="67">
        <v>14</v>
      </c>
      <c r="D46" s="64">
        <v>2.8</v>
      </c>
      <c r="E46" s="65">
        <v>86</v>
      </c>
      <c r="F46" s="67">
        <v>98</v>
      </c>
      <c r="G46" s="74" t="s">
        <v>36</v>
      </c>
      <c r="H46" s="72" t="s">
        <v>26</v>
      </c>
      <c r="I46" s="74">
        <v>0.12</v>
      </c>
      <c r="J46" s="76">
        <v>799</v>
      </c>
      <c r="K46" s="79" t="str">
        <f>HYPERLINK("https://amzn.to/2SX2HUi","link*")</f>
        <v>link*</v>
      </c>
      <c r="L46" s="79" t="str">
        <f>HYPERLINK("https://www.bhphotovideo.com/c/product/1352863-REG/samyang_syio14af_e_14mm_f_2_8_f_f_wide.html/BI/19619/KBID/12129/DFF/d10-v21-t1-x837928/SID/EZ","link*")</f>
        <v>link*</v>
      </c>
      <c r="M46" s="79" t="str">
        <f>HYPERLINK("https://amzn.to/31hwSIL","link*")</f>
        <v>link*</v>
      </c>
      <c r="N46" s="79"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46" s="84">
        <v>20</v>
      </c>
      <c r="P46" s="70" t="s">
        <v>27</v>
      </c>
      <c r="Q46" s="74">
        <v>7</v>
      </c>
      <c r="R46" s="112">
        <v>43752</v>
      </c>
      <c r="S46" s="74" t="s">
        <v>38</v>
      </c>
      <c r="T46" s="88">
        <v>43221</v>
      </c>
    </row>
    <row r="47" spans="1:21" ht="13" hidden="1">
      <c r="A47" s="337"/>
      <c r="B47" s="60"/>
      <c r="C47" s="74"/>
      <c r="D47" s="64"/>
      <c r="E47" s="65"/>
      <c r="F47" s="65"/>
      <c r="G47" s="74"/>
      <c r="H47" s="72"/>
      <c r="I47" s="74"/>
      <c r="J47" s="574"/>
      <c r="K47" s="113"/>
      <c r="L47" s="113"/>
      <c r="M47" s="113"/>
      <c r="N47" s="113"/>
      <c r="O47" s="74"/>
      <c r="P47" s="70"/>
      <c r="Q47" s="74"/>
      <c r="R47" s="112"/>
      <c r="S47" s="74"/>
      <c r="T47" s="125"/>
    </row>
    <row r="48" spans="1:21" ht="13" hidden="1">
      <c r="A48" s="326"/>
      <c r="B48" s="60"/>
      <c r="C48" s="74"/>
      <c r="D48" s="64"/>
      <c r="E48" s="65"/>
      <c r="F48" s="65"/>
      <c r="G48" s="74"/>
      <c r="H48" s="72"/>
      <c r="I48" s="201"/>
      <c r="J48" s="74"/>
      <c r="K48" s="113"/>
      <c r="L48" s="113"/>
      <c r="M48" s="113"/>
      <c r="N48" s="113"/>
      <c r="O48" s="74"/>
      <c r="P48" s="70"/>
      <c r="Q48" s="74"/>
      <c r="R48" s="112"/>
      <c r="S48" s="74"/>
      <c r="T48" s="125"/>
    </row>
    <row r="49" spans="1:20" ht="13" hidden="1">
      <c r="A49" s="198"/>
      <c r="B49" s="60"/>
      <c r="C49" s="74"/>
      <c r="D49" s="304"/>
      <c r="E49" s="65"/>
      <c r="F49" s="65"/>
      <c r="G49" s="328"/>
      <c r="H49" s="72"/>
      <c r="I49" s="125"/>
      <c r="J49" s="74"/>
      <c r="K49" s="113"/>
      <c r="L49" s="113"/>
      <c r="M49" s="113"/>
      <c r="N49" s="113"/>
      <c r="O49" s="74"/>
      <c r="P49" s="70"/>
      <c r="Q49" s="74"/>
      <c r="R49" s="112"/>
      <c r="S49" s="74"/>
      <c r="T49" s="74"/>
    </row>
    <row r="50" spans="1:20" ht="13" hidden="1">
      <c r="A50" s="323"/>
      <c r="B50" s="60"/>
      <c r="C50" s="74"/>
      <c r="D50" s="64"/>
      <c r="E50" s="65"/>
      <c r="F50" s="65"/>
      <c r="G50" s="74"/>
      <c r="H50" s="72"/>
      <c r="I50" s="74"/>
      <c r="J50" s="74"/>
      <c r="K50" s="113"/>
      <c r="L50" s="113"/>
      <c r="M50" s="113"/>
      <c r="N50" s="113"/>
      <c r="O50" s="74"/>
      <c r="P50" s="70"/>
      <c r="Q50" s="74"/>
      <c r="R50" s="112"/>
      <c r="S50" s="74"/>
      <c r="T50" s="125"/>
    </row>
    <row r="51" spans="1:20" ht="13" hidden="1">
      <c r="A51" s="323"/>
      <c r="B51" s="60"/>
      <c r="C51" s="74"/>
      <c r="D51" s="64"/>
      <c r="E51" s="65"/>
      <c r="F51" s="65"/>
      <c r="G51" s="74"/>
      <c r="H51" s="72"/>
      <c r="I51" s="74"/>
      <c r="J51" s="74"/>
      <c r="K51" s="113"/>
      <c r="L51" s="113"/>
      <c r="M51" s="113"/>
      <c r="N51" s="113"/>
      <c r="O51" s="74"/>
      <c r="P51" s="70"/>
      <c r="Q51" s="74"/>
      <c r="R51" s="343"/>
      <c r="S51" s="74"/>
      <c r="T51" s="125"/>
    </row>
    <row r="52" spans="1:20" ht="13" hidden="1">
      <c r="A52" s="323"/>
      <c r="B52" s="60"/>
      <c r="C52" s="74"/>
      <c r="D52" s="64"/>
      <c r="E52" s="65"/>
      <c r="F52" s="65"/>
      <c r="G52" s="74"/>
      <c r="H52" s="72"/>
      <c r="I52" s="74"/>
      <c r="J52" s="74"/>
      <c r="K52" s="113"/>
      <c r="L52" s="113"/>
      <c r="M52" s="113"/>
      <c r="N52" s="113"/>
      <c r="O52" s="74"/>
      <c r="P52" s="70"/>
      <c r="Q52" s="74"/>
      <c r="R52" s="112"/>
      <c r="S52" s="74"/>
      <c r="T52" s="125"/>
    </row>
    <row r="53" spans="1:20" ht="13" hidden="1">
      <c r="A53" s="198"/>
      <c r="B53" s="60"/>
      <c r="C53" s="74"/>
      <c r="D53" s="64"/>
      <c r="E53" s="65"/>
      <c r="F53" s="65"/>
      <c r="G53" s="74"/>
      <c r="H53" s="72"/>
      <c r="I53" s="74"/>
      <c r="J53" s="573"/>
      <c r="K53" s="113"/>
      <c r="L53" s="113"/>
      <c r="M53" s="113"/>
      <c r="N53" s="113"/>
      <c r="O53" s="74"/>
      <c r="P53" s="70"/>
      <c r="Q53" s="74"/>
      <c r="R53" s="112"/>
      <c r="S53" s="74"/>
      <c r="T53" s="74"/>
    </row>
    <row r="54" spans="1:20" ht="13" hidden="1">
      <c r="A54" s="126" t="str">
        <f>HYPERLINK("https://phillipreeve.net/blog/review-voigtlander-15mm-4-5-e-super-wide-heliar/","Voigtlander 15mm F4.5 Super Wide Heliar")</f>
        <v>Voigtlander 15mm F4.5 Super Wide Heliar</v>
      </c>
      <c r="B54" s="60">
        <v>298</v>
      </c>
      <c r="C54" s="67">
        <v>15</v>
      </c>
      <c r="D54" s="64">
        <v>4.5</v>
      </c>
      <c r="E54" s="248">
        <v>67</v>
      </c>
      <c r="F54" s="246">
        <v>62</v>
      </c>
      <c r="G54" s="70" t="s">
        <v>25</v>
      </c>
      <c r="H54" s="72" t="s">
        <v>71</v>
      </c>
      <c r="I54" s="74">
        <v>8.3000000000000004E-2</v>
      </c>
      <c r="J54" s="76">
        <v>799</v>
      </c>
      <c r="K54" s="79" t="str">
        <f>HYPERLINK("https://amzn.to/2YwplrQ","link*")</f>
        <v>link*</v>
      </c>
      <c r="L54" s="79" t="str">
        <f>HYPERLINK("https://www.bhphotovideo.com/c/product/1219549-REG/voigtlander_ba329b_super_wide_heliar_15mm_f_4_5.html/BI/19619/KBID/12129/DFF/d10-v21-t1-x618202/SID/EZ","link*")</f>
        <v>link*</v>
      </c>
      <c r="M54" s="79" t="str">
        <f>HYPERLINK("https://amzn.to/2ZpTKt5","link*")</f>
        <v>link*</v>
      </c>
      <c r="N54" s="79"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O54" s="84">
        <v>30</v>
      </c>
      <c r="P54" s="70" t="s">
        <v>27</v>
      </c>
      <c r="Q54" s="74">
        <v>10</v>
      </c>
      <c r="R54" s="136" t="s">
        <v>43</v>
      </c>
      <c r="S54" s="74" t="s">
        <v>29</v>
      </c>
      <c r="T54" s="88">
        <v>42401</v>
      </c>
    </row>
    <row r="55" spans="1:20" ht="13" hidden="1">
      <c r="A55" s="198"/>
      <c r="B55" s="60"/>
      <c r="C55" s="74"/>
      <c r="D55" s="64"/>
      <c r="E55" s="65"/>
      <c r="F55" s="65"/>
      <c r="G55" s="74"/>
      <c r="H55" s="72"/>
      <c r="I55" s="263"/>
      <c r="J55" s="574"/>
      <c r="K55" s="113"/>
      <c r="L55" s="113"/>
      <c r="M55" s="113"/>
      <c r="N55" s="113"/>
      <c r="O55" s="74"/>
      <c r="P55" s="70"/>
      <c r="Q55" s="74"/>
      <c r="R55" s="112"/>
      <c r="S55" s="74"/>
      <c r="T55" s="74"/>
    </row>
    <row r="56" spans="1:20" ht="13" hidden="1">
      <c r="A56" s="198"/>
      <c r="B56" s="60"/>
      <c r="C56" s="74"/>
      <c r="D56" s="64"/>
      <c r="E56" s="65"/>
      <c r="F56" s="65"/>
      <c r="G56" s="74"/>
      <c r="H56" s="72"/>
      <c r="I56" s="74"/>
      <c r="J56" s="74"/>
      <c r="K56" s="113"/>
      <c r="L56" s="113"/>
      <c r="M56" s="113"/>
      <c r="N56" s="113"/>
      <c r="O56" s="74"/>
      <c r="P56" s="70"/>
      <c r="Q56" s="74"/>
      <c r="R56" s="112"/>
      <c r="S56" s="74"/>
      <c r="T56" s="74"/>
    </row>
    <row r="57" spans="1:20" ht="13" hidden="1">
      <c r="A57" s="198"/>
      <c r="B57" s="60"/>
      <c r="C57" s="74"/>
      <c r="D57" s="64"/>
      <c r="E57" s="65"/>
      <c r="F57" s="65"/>
      <c r="G57" s="328"/>
      <c r="H57" s="72"/>
      <c r="I57" s="320"/>
      <c r="J57" s="74"/>
      <c r="K57" s="113"/>
      <c r="L57" s="113"/>
      <c r="M57" s="113"/>
      <c r="N57" s="113"/>
      <c r="O57" s="74"/>
      <c r="P57" s="70"/>
      <c r="Q57" s="74"/>
      <c r="R57" s="112"/>
      <c r="S57" s="74"/>
    </row>
    <row r="58" spans="1:20" ht="13" hidden="1">
      <c r="A58" s="323"/>
      <c r="B58" s="60"/>
      <c r="C58" s="74"/>
      <c r="D58" s="64"/>
      <c r="E58" s="65"/>
      <c r="F58" s="65"/>
      <c r="G58" s="74"/>
      <c r="H58" s="72"/>
      <c r="I58" s="263"/>
      <c r="J58" s="604"/>
      <c r="K58" s="113"/>
      <c r="L58" s="113"/>
      <c r="M58" s="113"/>
      <c r="N58" s="113"/>
      <c r="O58" s="74"/>
      <c r="P58" s="70"/>
      <c r="Q58" s="74"/>
      <c r="R58" s="112"/>
      <c r="S58" s="74"/>
      <c r="T58" s="125"/>
    </row>
    <row r="59" spans="1:20" ht="13" hidden="1">
      <c r="A59" s="323"/>
      <c r="B59" s="60"/>
      <c r="C59" s="74"/>
      <c r="D59" s="64"/>
      <c r="E59" s="65"/>
      <c r="F59" s="65"/>
      <c r="G59" s="74"/>
      <c r="H59" s="72"/>
      <c r="I59" s="239"/>
      <c r="J59" s="74"/>
      <c r="K59" s="113"/>
      <c r="L59" s="113"/>
      <c r="M59" s="113"/>
      <c r="N59" s="113"/>
      <c r="O59" s="74"/>
      <c r="P59" s="134"/>
      <c r="Q59" s="74"/>
      <c r="R59" s="115"/>
      <c r="S59" s="74"/>
      <c r="T59" s="74"/>
    </row>
    <row r="60" spans="1:20" ht="13" hidden="1">
      <c r="A60" s="323"/>
      <c r="B60" s="60"/>
      <c r="C60" s="74"/>
      <c r="D60" s="64"/>
      <c r="E60" s="65"/>
      <c r="F60" s="65"/>
      <c r="G60" s="74"/>
      <c r="H60" s="72"/>
      <c r="I60" s="201"/>
      <c r="J60" s="74"/>
      <c r="K60" s="113"/>
      <c r="L60" s="113"/>
      <c r="M60" s="113"/>
      <c r="N60" s="113"/>
      <c r="O60" s="74"/>
      <c r="P60" s="134"/>
      <c r="Q60" s="74"/>
      <c r="R60" s="343"/>
      <c r="S60" s="74"/>
      <c r="T60" s="74"/>
    </row>
    <row r="61" spans="1:20" ht="13" hidden="1">
      <c r="A61" s="198"/>
      <c r="B61" s="60"/>
      <c r="C61" s="74"/>
      <c r="D61" s="64"/>
      <c r="E61" s="65"/>
      <c r="F61" s="65"/>
      <c r="G61" s="74"/>
      <c r="H61" s="72"/>
      <c r="I61" s="125"/>
      <c r="J61" s="74"/>
      <c r="K61" s="113"/>
      <c r="L61" s="113"/>
      <c r="M61" s="113"/>
      <c r="N61" s="113"/>
      <c r="O61" s="74"/>
      <c r="P61" s="134"/>
      <c r="Q61" s="74"/>
      <c r="R61" s="115"/>
      <c r="S61" s="74"/>
      <c r="T61" s="74"/>
    </row>
    <row r="62" spans="1:20" ht="13" hidden="1">
      <c r="A62" s="198"/>
      <c r="B62" s="60"/>
      <c r="C62" s="74"/>
      <c r="D62" s="64"/>
      <c r="E62" s="65"/>
      <c r="F62" s="65"/>
      <c r="G62" s="74"/>
      <c r="H62" s="72"/>
      <c r="I62" s="74"/>
      <c r="J62" s="74"/>
      <c r="K62" s="113"/>
      <c r="L62" s="113"/>
      <c r="M62" s="113"/>
      <c r="N62" s="113"/>
      <c r="O62" s="74"/>
      <c r="P62" s="70"/>
      <c r="Q62" s="74"/>
      <c r="R62" s="112"/>
      <c r="S62" s="74"/>
      <c r="T62" s="74"/>
    </row>
    <row r="63" spans="1:20" ht="13" hidden="1">
      <c r="A63" s="323"/>
      <c r="B63" s="60"/>
      <c r="C63" s="74"/>
      <c r="D63" s="64"/>
      <c r="E63" s="65"/>
      <c r="F63" s="65"/>
      <c r="G63" s="74"/>
      <c r="H63" s="269"/>
      <c r="I63" s="74"/>
      <c r="J63" s="74"/>
      <c r="K63" s="113"/>
      <c r="L63" s="113"/>
      <c r="M63" s="113"/>
      <c r="N63" s="113"/>
      <c r="O63" s="74"/>
      <c r="P63" s="70"/>
      <c r="Q63" s="74"/>
      <c r="R63" s="343"/>
      <c r="S63" s="74"/>
      <c r="T63" s="125"/>
    </row>
    <row r="64" spans="1:20" ht="13" hidden="1">
      <c r="A64" s="323"/>
      <c r="B64" s="60"/>
      <c r="C64" s="74"/>
      <c r="D64" s="64"/>
      <c r="E64" s="65"/>
      <c r="F64" s="65"/>
      <c r="G64" s="74"/>
      <c r="H64" s="72"/>
      <c r="I64" s="74"/>
      <c r="J64" s="573"/>
      <c r="K64" s="113"/>
      <c r="L64" s="113"/>
      <c r="M64" s="113"/>
      <c r="N64" s="113"/>
      <c r="O64" s="74"/>
      <c r="P64" s="70"/>
      <c r="Q64" s="74"/>
      <c r="R64" s="112"/>
      <c r="S64" s="74"/>
      <c r="T64" s="125"/>
    </row>
    <row r="65" spans="1:20" ht="13" hidden="1">
      <c r="A65" s="198"/>
      <c r="B65" s="60"/>
      <c r="C65" s="74"/>
      <c r="D65" s="64"/>
      <c r="E65" s="65"/>
      <c r="F65" s="65"/>
      <c r="G65" s="74"/>
      <c r="H65" s="72"/>
      <c r="I65" s="74"/>
      <c r="J65" s="573"/>
      <c r="K65" s="113"/>
      <c r="L65" s="113"/>
      <c r="M65" s="113"/>
      <c r="N65" s="113"/>
      <c r="O65" s="74"/>
      <c r="P65" s="70"/>
      <c r="Q65" s="74"/>
      <c r="R65" s="112"/>
      <c r="S65" s="74"/>
      <c r="T65" s="74"/>
    </row>
    <row r="66" spans="1:20" ht="13" hidden="1">
      <c r="A66" s="126" t="str">
        <f>HYPERLINK("https://phillipreeve.net/blog/sony-fe-16-35mm-f4-za-t-review/","Sony ZA 4/16-35 OSS ")</f>
        <v xml:space="preserve">Sony ZA 4/16-35 OSS </v>
      </c>
      <c r="B66" s="60">
        <v>523</v>
      </c>
      <c r="C66" s="67">
        <v>16</v>
      </c>
      <c r="D66" s="64">
        <v>4</v>
      </c>
      <c r="E66" s="65">
        <v>78</v>
      </c>
      <c r="F66" s="67">
        <v>98</v>
      </c>
      <c r="G66" s="70" t="s">
        <v>36</v>
      </c>
      <c r="H66" s="72" t="s">
        <v>64</v>
      </c>
      <c r="I66" s="74">
        <v>0.19</v>
      </c>
      <c r="J66" s="76">
        <v>1349</v>
      </c>
      <c r="K66" s="79" t="str">
        <f>HYPERLINK("http://amzn.to/2v2sY7q","link*")</f>
        <v>link*</v>
      </c>
      <c r="L66" s="79" t="str">
        <f>HYPERLINK("https://www.bhphotovideo.com/c/product/1380866-REG/sony_16_35mm_f_4_vario_tsr.html/BI/19619/KBID/12129/kw/SO16354F/DFF/d10-v2-t1-xSO16354F","link*")</f>
        <v>link*</v>
      </c>
      <c r="M66" s="79" t="str">
        <f>HYPERLINK("http://amzn.to/2wyMLuP","link*")</f>
        <v>link*</v>
      </c>
      <c r="N66" s="7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66" s="84">
        <v>28</v>
      </c>
      <c r="P66" s="134" t="s">
        <v>66</v>
      </c>
      <c r="Q66" s="74">
        <v>7</v>
      </c>
      <c r="R66" s="136" t="s">
        <v>43</v>
      </c>
      <c r="S66" s="74" t="s">
        <v>41</v>
      </c>
      <c r="T66" s="88">
        <v>41883</v>
      </c>
    </row>
    <row r="67" spans="1:20" ht="13" hidden="1">
      <c r="A67" s="323"/>
      <c r="B67" s="60"/>
      <c r="C67" s="74"/>
      <c r="D67" s="64"/>
      <c r="E67" s="463"/>
      <c r="F67" s="463"/>
      <c r="G67" s="328"/>
      <c r="H67" s="72"/>
      <c r="I67" s="74"/>
      <c r="J67" s="74"/>
      <c r="K67" s="113"/>
      <c r="L67" s="113"/>
      <c r="M67" s="113"/>
      <c r="N67" s="113"/>
      <c r="O67" s="74"/>
      <c r="P67" s="70"/>
      <c r="Q67" s="74"/>
      <c r="R67" s="112"/>
      <c r="S67" s="74"/>
      <c r="T67" s="125"/>
    </row>
    <row r="68" spans="1:20" ht="13" hidden="1">
      <c r="A68" s="323"/>
      <c r="B68" s="60"/>
      <c r="C68" s="74"/>
      <c r="D68" s="64"/>
      <c r="E68" s="463"/>
      <c r="F68" s="463"/>
      <c r="G68" s="74"/>
      <c r="H68" s="72"/>
      <c r="I68" s="74"/>
      <c r="J68" s="74"/>
      <c r="K68" s="113"/>
      <c r="L68" s="113"/>
      <c r="M68" s="113"/>
      <c r="N68" s="113"/>
      <c r="O68" s="74"/>
      <c r="P68" s="70"/>
      <c r="Q68" s="74"/>
      <c r="R68" s="112"/>
      <c r="S68" s="74"/>
      <c r="T68" s="125"/>
    </row>
    <row r="69" spans="1:20" ht="13" hidden="1">
      <c r="A69" s="58" t="s">
        <v>67</v>
      </c>
      <c r="B69" s="60">
        <v>680</v>
      </c>
      <c r="C69" s="67">
        <v>16</v>
      </c>
      <c r="D69" s="64">
        <v>2.8</v>
      </c>
      <c r="E69" s="65">
        <v>89</v>
      </c>
      <c r="F69" s="67">
        <v>122</v>
      </c>
      <c r="G69" s="70" t="s">
        <v>36</v>
      </c>
      <c r="H69" s="72" t="s">
        <v>68</v>
      </c>
      <c r="I69" s="74">
        <v>0.19</v>
      </c>
      <c r="J69" s="76">
        <v>2199</v>
      </c>
      <c r="K69" s="79" t="str">
        <f>HYPERLINK("https://amzn.to/2SR0IRl","link*")</f>
        <v>link*</v>
      </c>
      <c r="L69" s="79" t="str">
        <f>HYPERLINK("https://www.bhphotovideo.com/c/product/1338516-REG/sony_sel1635gm_fe_16_35mm_f_2_8_gm.html/BI/19619/KBID/12129/DFF/d10-v21-t1-x822837/SID/EZ","link*")</f>
        <v>link*</v>
      </c>
      <c r="M69" s="79" t="str">
        <f>HYPERLINK("https://amzn.to/2T1ZxOU","link*")</f>
        <v>link*</v>
      </c>
      <c r="N69" s="79"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69" s="84">
        <v>28</v>
      </c>
      <c r="P69" s="70" t="s">
        <v>27</v>
      </c>
      <c r="Q69" s="74">
        <v>11</v>
      </c>
      <c r="R69" s="136" t="s">
        <v>72</v>
      </c>
      <c r="S69" s="74" t="s">
        <v>41</v>
      </c>
      <c r="T69" s="88">
        <v>42856</v>
      </c>
    </row>
    <row r="70" spans="1:20" ht="13" hidden="1">
      <c r="A70" s="198"/>
      <c r="B70" s="60"/>
      <c r="C70" s="74"/>
      <c r="D70" s="64"/>
      <c r="E70" s="65"/>
      <c r="F70" s="65"/>
      <c r="G70" s="74"/>
      <c r="H70" s="72"/>
      <c r="I70" s="263"/>
      <c r="J70" s="74"/>
      <c r="K70" s="113"/>
      <c r="L70" s="113"/>
      <c r="M70" s="113"/>
      <c r="N70" s="113"/>
      <c r="O70" s="74"/>
      <c r="P70" s="134"/>
      <c r="Q70" s="74"/>
      <c r="R70" s="112"/>
      <c r="S70" s="74"/>
      <c r="T70" s="74"/>
    </row>
    <row r="71" spans="1:20" ht="13" hidden="1">
      <c r="A71" s="323"/>
      <c r="B71" s="60"/>
      <c r="C71" s="74"/>
      <c r="D71" s="64"/>
      <c r="E71" s="65"/>
      <c r="F71" s="65"/>
      <c r="G71" s="74"/>
      <c r="H71" s="72"/>
      <c r="I71" s="239"/>
      <c r="J71" s="74"/>
      <c r="K71" s="113"/>
      <c r="L71" s="113"/>
      <c r="M71" s="113"/>
      <c r="N71" s="113"/>
      <c r="O71" s="74"/>
      <c r="P71" s="134"/>
      <c r="Q71" s="74"/>
      <c r="R71" s="112"/>
      <c r="S71" s="74"/>
      <c r="T71" s="74"/>
    </row>
    <row r="72" spans="1:20" ht="13" hidden="1">
      <c r="A72" s="323"/>
      <c r="B72" s="60"/>
      <c r="C72" s="74"/>
      <c r="D72" s="64"/>
      <c r="E72" s="65"/>
      <c r="F72" s="65"/>
      <c r="G72" s="74"/>
      <c r="H72" s="72"/>
      <c r="I72" s="263"/>
      <c r="J72" s="574"/>
      <c r="K72" s="113"/>
      <c r="L72" s="113"/>
      <c r="M72" s="113"/>
      <c r="N72" s="113"/>
      <c r="O72" s="74"/>
      <c r="P72" s="70"/>
      <c r="Q72" s="74"/>
      <c r="R72" s="112"/>
      <c r="S72" s="74"/>
      <c r="T72" s="74"/>
    </row>
    <row r="73" spans="1:20" ht="13" hidden="1">
      <c r="A73" s="323"/>
      <c r="B73" s="60"/>
      <c r="C73" s="74"/>
      <c r="D73" s="64"/>
      <c r="E73" s="65"/>
      <c r="F73" s="65"/>
      <c r="G73" s="74"/>
      <c r="H73" s="72"/>
      <c r="I73" s="239"/>
      <c r="J73" s="74"/>
      <c r="K73" s="113"/>
      <c r="L73" s="113"/>
      <c r="M73" s="113"/>
      <c r="N73" s="113"/>
      <c r="O73" s="74"/>
      <c r="P73" s="134"/>
      <c r="Q73" s="74"/>
      <c r="R73" s="115"/>
      <c r="S73" s="74"/>
      <c r="T73" s="74"/>
    </row>
    <row r="74" spans="1:20" ht="15.75" hidden="1" customHeight="1">
      <c r="A74" s="323"/>
      <c r="B74" s="60"/>
      <c r="C74" s="74"/>
      <c r="D74" s="64"/>
      <c r="E74" s="65"/>
      <c r="F74" s="65"/>
      <c r="G74" s="74"/>
      <c r="H74" s="278"/>
      <c r="I74" s="74"/>
      <c r="J74" s="74"/>
      <c r="K74" s="113"/>
      <c r="L74" s="113"/>
      <c r="M74" s="113"/>
      <c r="N74" s="113"/>
      <c r="O74" s="74"/>
      <c r="P74" s="70"/>
      <c r="Q74" s="74"/>
      <c r="R74" s="112"/>
      <c r="S74" s="74"/>
      <c r="T74" s="125"/>
    </row>
    <row r="75" spans="1:20" ht="13" hidden="1">
      <c r="A75" s="323"/>
      <c r="B75" s="60"/>
      <c r="C75" s="74"/>
      <c r="D75" s="64"/>
      <c r="E75" s="65"/>
      <c r="F75" s="65"/>
      <c r="G75" s="328"/>
      <c r="H75" s="72"/>
      <c r="I75" s="263"/>
      <c r="J75" s="74"/>
      <c r="K75" s="113"/>
      <c r="L75" s="113"/>
      <c r="M75" s="113"/>
      <c r="N75" s="113"/>
      <c r="O75" s="74"/>
      <c r="P75" s="70"/>
      <c r="Q75" s="74"/>
      <c r="R75" s="112"/>
      <c r="S75" s="74"/>
      <c r="T75" s="74"/>
    </row>
    <row r="76" spans="1:20" ht="13" hidden="1">
      <c r="A76" s="198"/>
      <c r="B76" s="60"/>
      <c r="C76" s="74"/>
      <c r="D76" s="64"/>
      <c r="E76" s="65"/>
      <c r="F76" s="65"/>
      <c r="G76" s="74"/>
      <c r="H76" s="236"/>
      <c r="I76" s="239"/>
      <c r="J76" s="74"/>
      <c r="K76" s="113"/>
      <c r="L76" s="113"/>
      <c r="M76" s="113"/>
      <c r="N76" s="113"/>
      <c r="O76" s="74"/>
      <c r="P76" s="70"/>
      <c r="Q76" s="74"/>
      <c r="R76" s="112"/>
      <c r="S76" s="74"/>
      <c r="T76" s="125"/>
    </row>
    <row r="77" spans="1:20" ht="13" hidden="1">
      <c r="A77" s="323"/>
      <c r="B77" s="60"/>
      <c r="C77" s="74"/>
      <c r="D77" s="64"/>
      <c r="E77" s="65"/>
      <c r="F77" s="65"/>
      <c r="G77" s="74"/>
      <c r="H77" s="236"/>
      <c r="I77" s="74"/>
      <c r="J77" s="574"/>
      <c r="K77" s="113"/>
      <c r="L77" s="113"/>
      <c r="M77" s="113"/>
      <c r="N77" s="113"/>
      <c r="O77" s="74"/>
      <c r="P77" s="70"/>
      <c r="Q77" s="74"/>
      <c r="R77" s="112"/>
      <c r="S77" s="74"/>
      <c r="T77" s="125"/>
    </row>
    <row r="78" spans="1:20" ht="13" hidden="1">
      <c r="A78" s="126" t="str">
        <f>HYPERLINK("https://phillipreeve.net/blog/review-tamron-17-28mm-f-2-8-di-iii-rxd/","Tamron 17-28mm f/2.8 Di III RXD")</f>
        <v>Tamron 17-28mm f/2.8 Di III RXD</v>
      </c>
      <c r="B78" s="60">
        <v>420</v>
      </c>
      <c r="C78" s="67">
        <v>17</v>
      </c>
      <c r="D78" s="64">
        <v>2.8</v>
      </c>
      <c r="E78" s="152">
        <v>73</v>
      </c>
      <c r="F78" s="67">
        <v>99</v>
      </c>
      <c r="G78" s="70" t="s">
        <v>36</v>
      </c>
      <c r="H78" s="72" t="s">
        <v>73</v>
      </c>
      <c r="I78" s="74">
        <v>0.19</v>
      </c>
      <c r="J78" s="156">
        <v>899</v>
      </c>
      <c r="K78" s="79" t="str">
        <f>HYPERLINK("https://amzn.to/2Hv3AyB","link*")</f>
        <v>link*</v>
      </c>
      <c r="L78" s="79" t="str">
        <f>HYPERLINK("https://www.bhphotovideo.com/c/product/1461529-REG/tamron_a046_17_28mm_f_2_8_di_iii.html/BI/19619/KBID/12129/DFF/d10-v21-t1-x946694/SID/EZ","link*")</f>
        <v>link*</v>
      </c>
      <c r="M78" s="79" t="str">
        <f>HYPERLINK("https://amzn.to/2YkrkQB","link*")</f>
        <v>link*</v>
      </c>
      <c r="N78" s="79"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78" s="84">
        <v>19</v>
      </c>
      <c r="P78" s="70" t="s">
        <v>27</v>
      </c>
      <c r="Q78" s="74">
        <v>9</v>
      </c>
      <c r="R78" s="136" t="s">
        <v>77</v>
      </c>
      <c r="S78" s="74" t="s">
        <v>78</v>
      </c>
      <c r="T78" s="88">
        <v>43647</v>
      </c>
    </row>
    <row r="79" spans="1:20" ht="13" hidden="1">
      <c r="A79" s="337"/>
      <c r="B79" s="60"/>
      <c r="C79" s="74"/>
      <c r="D79" s="64"/>
      <c r="E79" s="65"/>
      <c r="F79" s="65"/>
      <c r="G79" s="74"/>
      <c r="H79" s="244"/>
      <c r="I79" s="320"/>
      <c r="J79" s="74"/>
      <c r="K79" s="113"/>
      <c r="L79" s="113"/>
      <c r="M79" s="113"/>
      <c r="N79" s="113"/>
      <c r="O79" s="74"/>
      <c r="P79" s="134"/>
      <c r="Q79" s="74"/>
      <c r="R79" s="115"/>
      <c r="S79" s="74"/>
      <c r="T79" s="74"/>
    </row>
    <row r="80" spans="1:20" ht="13" hidden="1">
      <c r="A80" s="323"/>
      <c r="B80" s="60"/>
      <c r="C80" s="74"/>
      <c r="D80" s="64"/>
      <c r="E80" s="65"/>
      <c r="F80" s="65"/>
      <c r="G80" s="74"/>
      <c r="H80" s="72"/>
      <c r="I80" s="320"/>
      <c r="J80" s="74"/>
      <c r="K80" s="113"/>
      <c r="L80" s="113"/>
      <c r="M80" s="113"/>
      <c r="N80" s="113"/>
      <c r="O80" s="74"/>
      <c r="P80" s="134"/>
      <c r="Q80" s="74"/>
      <c r="R80" s="115"/>
      <c r="S80" s="74"/>
      <c r="T80" s="74"/>
    </row>
    <row r="81" spans="1:21" ht="13" hidden="1">
      <c r="A81" s="401"/>
      <c r="B81" s="282"/>
      <c r="C81" s="285"/>
      <c r="D81" s="284"/>
      <c r="E81" s="558"/>
      <c r="F81" s="558"/>
      <c r="G81" s="285"/>
      <c r="H81" s="286"/>
      <c r="I81" s="285"/>
      <c r="J81" s="285"/>
      <c r="K81" s="113"/>
      <c r="L81" s="113"/>
      <c r="M81" s="113"/>
      <c r="N81" s="113"/>
      <c r="O81" s="285"/>
      <c r="P81" s="134"/>
      <c r="Q81" s="285"/>
      <c r="R81" s="288"/>
      <c r="S81" s="285"/>
      <c r="T81" s="285"/>
    </row>
    <row r="82" spans="1:21" ht="13">
      <c r="A82" s="126" t="str">
        <f>HYPERLINK("https://phillipreeve.net/blog/review-zeiss-batis-18mm-2-8/","Zeiss Batis 2.8/18")</f>
        <v>Zeiss Batis 2.8/18</v>
      </c>
      <c r="B82" s="60">
        <v>330</v>
      </c>
      <c r="C82" s="67">
        <v>18</v>
      </c>
      <c r="D82" s="64">
        <v>2.8</v>
      </c>
      <c r="E82" s="65">
        <v>100</v>
      </c>
      <c r="F82" s="67">
        <v>80</v>
      </c>
      <c r="G82" s="70" t="s">
        <v>36</v>
      </c>
      <c r="H82" s="72" t="s">
        <v>80</v>
      </c>
      <c r="I82" s="74">
        <v>0.1</v>
      </c>
      <c r="J82" s="76">
        <v>1499</v>
      </c>
      <c r="K82" s="79" t="str">
        <f>HYPERLINK("https://amzn.to/2SRFBhL","link*")</f>
        <v>link*</v>
      </c>
      <c r="L82" s="79" t="str">
        <f>HYPERLINK("https://www.bhphotovideo.com/c/product/1243591-REG/zeiss_2136_691_batis_18mm_f_2_8_lens.html/BI/19619/KBID/12129/DFF/d10-v21-t1-x727488/SID/EZ","link*")</f>
        <v>link*</v>
      </c>
      <c r="M82" s="79" t="str">
        <f>HYPERLINK("https://amzn.to/334PqNT","link*")</f>
        <v>link*</v>
      </c>
      <c r="N82" s="7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82" s="84">
        <v>25</v>
      </c>
      <c r="P82" s="70" t="s">
        <v>27</v>
      </c>
      <c r="Q82" s="74">
        <v>9</v>
      </c>
      <c r="R82" s="136" t="s">
        <v>86</v>
      </c>
      <c r="S82" s="74" t="s">
        <v>87</v>
      </c>
      <c r="T82" s="88">
        <v>42491</v>
      </c>
    </row>
    <row r="83" spans="1:21" ht="13" hidden="1">
      <c r="A83" s="163" t="s">
        <v>88</v>
      </c>
      <c r="B83" s="60">
        <v>145</v>
      </c>
      <c r="C83" s="67">
        <v>18</v>
      </c>
      <c r="D83" s="64">
        <v>2.8</v>
      </c>
      <c r="E83" s="65">
        <v>63.5</v>
      </c>
      <c r="F83" s="67">
        <v>60.5</v>
      </c>
      <c r="G83" s="70" t="s">
        <v>36</v>
      </c>
      <c r="H83" s="72" t="s">
        <v>71</v>
      </c>
      <c r="I83" s="74">
        <v>0.09</v>
      </c>
      <c r="J83" s="76">
        <v>399</v>
      </c>
      <c r="K83" s="121"/>
      <c r="L83" s="79" t="str">
        <f>HYPERLINK("https://www.bhphotovideo.com/c/product/1503295-REG/samyang_syio18af_e_af_18mm_f_2_8_fe.html/BI/19619/KBID/12129/DFF/d10-v21-t1-x985623/SID/EZ","link*")</f>
        <v>link*</v>
      </c>
      <c r="M83" s="121"/>
      <c r="N83" s="121"/>
      <c r="O83" s="84">
        <v>25</v>
      </c>
      <c r="P83" s="70" t="s">
        <v>27</v>
      </c>
      <c r="Q83" s="74">
        <v>7</v>
      </c>
      <c r="R83" s="136" t="s">
        <v>91</v>
      </c>
      <c r="S83" s="74" t="s">
        <v>38</v>
      </c>
      <c r="T83" s="88">
        <v>43723</v>
      </c>
    </row>
    <row r="84" spans="1:21" ht="13" hidden="1">
      <c r="A84" s="58" t="s">
        <v>92</v>
      </c>
      <c r="B84" s="60">
        <v>950</v>
      </c>
      <c r="C84" s="67">
        <v>20</v>
      </c>
      <c r="D84" s="165">
        <v>1.4</v>
      </c>
      <c r="E84" s="65">
        <v>91</v>
      </c>
      <c r="F84" s="67">
        <v>130</v>
      </c>
      <c r="G84" s="74" t="s">
        <v>36</v>
      </c>
      <c r="H84" s="72" t="s">
        <v>26</v>
      </c>
      <c r="I84" s="74">
        <v>0.14000000000000001</v>
      </c>
      <c r="J84" s="76">
        <v>899</v>
      </c>
      <c r="K84" s="79" t="str">
        <f>HYPERLINK("https://amzn.to/2K4J7nh","link*")</f>
        <v>link*</v>
      </c>
      <c r="L84" s="79" t="str">
        <f>HYPERLINK("https://amzn.to/31hxv55","link*")</f>
        <v>link*</v>
      </c>
      <c r="M84" s="79" t="str">
        <f>HYPERLINK("https://amzn.to/2Wy0d3F","link*")</f>
        <v>link*</v>
      </c>
      <c r="N84" s="79"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O84" s="84">
        <v>28</v>
      </c>
      <c r="P84" s="70" t="s">
        <v>27</v>
      </c>
      <c r="Q84" s="74">
        <v>9</v>
      </c>
      <c r="R84" s="112">
        <v>43784</v>
      </c>
      <c r="S84" s="74" t="s">
        <v>47</v>
      </c>
      <c r="T84" s="88">
        <v>43221</v>
      </c>
      <c r="U84" s="77" t="s">
        <v>48</v>
      </c>
    </row>
    <row r="85" spans="1:21" ht="13" hidden="1">
      <c r="A85" s="58" t="s">
        <v>104</v>
      </c>
      <c r="B85" s="60">
        <v>775</v>
      </c>
      <c r="C85" s="67">
        <v>20</v>
      </c>
      <c r="D85" s="100">
        <v>1.8</v>
      </c>
      <c r="E85" s="65">
        <v>77</v>
      </c>
      <c r="F85" s="67">
        <v>102</v>
      </c>
      <c r="G85" s="74" t="s">
        <v>25</v>
      </c>
      <c r="H85" s="72" t="s">
        <v>68</v>
      </c>
      <c r="I85" s="74">
        <v>0.12</v>
      </c>
      <c r="J85" s="76">
        <v>486</v>
      </c>
      <c r="K85" s="79" t="str">
        <f>HYPERLINK("https://amzn.to/2LRRbJ5","link*")</f>
        <v>link*</v>
      </c>
      <c r="L85" s="79" t="str">
        <f>HYPERLINK("https://www.bhphotovideo.com/c/product/1469187-REG/viltrox_pfu_rbmh_20mm_f1_8_asph_e_mount_20mm_f_1_8_for_sony.html/BI/19619/KBID/12129/DFF/d10-v21-t1-x954299/SID/EZ","link*")</f>
        <v>link*</v>
      </c>
      <c r="M85" s="79" t="str">
        <f>HYPERLINK("https://amzn.to/2GL8iYV","link*")</f>
        <v>link*</v>
      </c>
      <c r="N85" s="79"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O85" s="84">
        <v>25</v>
      </c>
      <c r="P85" s="70" t="s">
        <v>27</v>
      </c>
      <c r="Q85" s="74">
        <v>14</v>
      </c>
      <c r="R85" s="112">
        <v>43720</v>
      </c>
      <c r="S85" s="74" t="s">
        <v>106</v>
      </c>
      <c r="T85" s="88">
        <v>43586</v>
      </c>
    </row>
    <row r="86" spans="1:21" ht="13" hidden="1">
      <c r="A86" s="126" t="str">
        <f>HYPERLINK("https://phillipreeve.net/blog/tokina-firin-20mm-f2-fe-review-a-good-deal/","Tokina Firin 2/20")</f>
        <v>Tokina Firin 2/20</v>
      </c>
      <c r="B86" s="60">
        <v>492</v>
      </c>
      <c r="C86" s="67">
        <v>20</v>
      </c>
      <c r="D86" s="173">
        <v>2</v>
      </c>
      <c r="E86" s="187">
        <v>69</v>
      </c>
      <c r="F86" s="188">
        <v>82</v>
      </c>
      <c r="G86" s="70" t="s">
        <v>25</v>
      </c>
      <c r="H86" s="72" t="s">
        <v>101</v>
      </c>
      <c r="I86" s="74">
        <v>0.1</v>
      </c>
      <c r="J86" s="184">
        <v>799</v>
      </c>
      <c r="K86" s="79" t="str">
        <f>HYPERLINK("http://amzn.to/2vlG2Yq","link*")</f>
        <v>link*</v>
      </c>
      <c r="L86" s="79" t="str">
        <f>HYPERLINK("https://www.bhphotovideo.com/c/product/1281299-REG/tokina_firin_20mm_f_2_fe.html/BI/19619/KBID/12129/kw/TO202E/DFF/d10-v2-t1-xTO202E","link*")</f>
        <v>link*</v>
      </c>
      <c r="M86" s="79" t="str">
        <f>HYPERLINK("http://amzn.to/2vvtDkM","link*")</f>
        <v>link*</v>
      </c>
      <c r="N86" s="79"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c r="O86" s="84">
        <v>30</v>
      </c>
      <c r="P86" s="70" t="s">
        <v>27</v>
      </c>
      <c r="Q86" s="74">
        <v>9</v>
      </c>
      <c r="R86" s="136" t="s">
        <v>77</v>
      </c>
      <c r="S86" s="74" t="s">
        <v>103</v>
      </c>
      <c r="T86" s="88">
        <v>42856</v>
      </c>
    </row>
    <row r="87" spans="1:21" ht="13" hidden="1">
      <c r="A87" s="58" t="s">
        <v>97</v>
      </c>
      <c r="B87" s="60">
        <v>464</v>
      </c>
      <c r="C87" s="67">
        <v>20</v>
      </c>
      <c r="D87" s="173">
        <v>2</v>
      </c>
      <c r="E87" s="175">
        <v>73</v>
      </c>
      <c r="F87" s="176">
        <v>82</v>
      </c>
      <c r="G87" s="70" t="s">
        <v>36</v>
      </c>
      <c r="H87" s="72" t="s">
        <v>101</v>
      </c>
      <c r="I87" s="74">
        <v>0.1</v>
      </c>
      <c r="J87" s="76">
        <v>949</v>
      </c>
      <c r="K87" s="79" t="str">
        <f>HYPERLINK("https://amzn.to/2GDurZb","link*")</f>
        <v>link*</v>
      </c>
      <c r="L87" s="79" t="str">
        <f>HYPERLINK("https://www.bhphotovideo.com/c/product/1393327-REG/tokina_firin_20mm_f_2_fe.html/BI/19619/KBID/12129/DFF/d10-v21-t1-x880327/SID/EZ","link*")</f>
        <v>link*</v>
      </c>
      <c r="M87" s="79" t="str">
        <f>HYPERLINK("https://amzn.to/2GJYCxw","link*")</f>
        <v>link*</v>
      </c>
      <c r="N87" s="79"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87" s="84">
        <v>30</v>
      </c>
      <c r="P87" s="70" t="s">
        <v>27</v>
      </c>
      <c r="Q87" s="74">
        <v>9</v>
      </c>
      <c r="R87" s="136" t="s">
        <v>77</v>
      </c>
      <c r="S87" s="74" t="s">
        <v>103</v>
      </c>
      <c r="T87" s="88">
        <v>43221</v>
      </c>
    </row>
    <row r="88" spans="1:21" ht="13" hidden="1">
      <c r="A88" s="126" t="str">
        <f>HYPERLINK("https://phillipreeve.net/blog/review_voigtlander_21mm_f14_e/","Voigtlander 21mm F1.4 Nokton")</f>
        <v>Voigtlander 21mm F1.4 Nokton</v>
      </c>
      <c r="B88" s="60">
        <v>540</v>
      </c>
      <c r="C88" s="67">
        <v>21</v>
      </c>
      <c r="D88" s="192">
        <v>1.4</v>
      </c>
      <c r="E88" s="194">
        <v>70</v>
      </c>
      <c r="F88" s="195">
        <v>80</v>
      </c>
      <c r="G88" s="70" t="s">
        <v>25</v>
      </c>
      <c r="H88" s="72" t="s">
        <v>101</v>
      </c>
      <c r="I88" s="74"/>
      <c r="J88" s="76">
        <v>1199</v>
      </c>
      <c r="K88" s="79" t="str">
        <f>HYPERLINK("https://amzn.to/2K7gHrC","link*")</f>
        <v>link*</v>
      </c>
      <c r="L88" s="79" t="str">
        <f>HYPERLINK("https://www.bhphotovideo.com/c/product/1480269-REG/voigtlander_ba352a_nokton_21mm_f_1_4_aspherical.html/BI/19619/KBID/12129/DFF/d10-v21-t1-x963269/SID/EZ","link*")</f>
        <v>link*</v>
      </c>
      <c r="M88" s="113"/>
      <c r="N88" s="79"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c r="O88" s="84">
        <v>25</v>
      </c>
      <c r="P88" s="70" t="s">
        <v>27</v>
      </c>
      <c r="Q88" s="74">
        <v>12</v>
      </c>
      <c r="R88" s="136" t="s">
        <v>77</v>
      </c>
      <c r="S88" s="74" t="s">
        <v>29</v>
      </c>
      <c r="T88" s="88">
        <v>43617</v>
      </c>
    </row>
    <row r="89" spans="1:21" ht="13">
      <c r="A89" s="126" t="str">
        <f>HYPERLINK("https://phillipreeve.net/blog/rolling-review-zeiss-loxia-distagon-2-821mm-t/https://phillipreeve.net/blog/rolling-review-zeiss-loxia-distagon-2-821mm-t/","Zeiss Loxia 2.8/21 Distagon T*")</f>
        <v>Zeiss Loxia 2.8/21 Distagon T*</v>
      </c>
      <c r="B89" s="60">
        <v>394</v>
      </c>
      <c r="C89" s="67">
        <v>21</v>
      </c>
      <c r="D89" s="64">
        <v>2.8</v>
      </c>
      <c r="E89" s="194">
        <v>62</v>
      </c>
      <c r="F89" s="195">
        <v>72</v>
      </c>
      <c r="G89" s="70" t="s">
        <v>25</v>
      </c>
      <c r="H89" s="72" t="s">
        <v>131</v>
      </c>
      <c r="I89" s="74">
        <v>0.13</v>
      </c>
      <c r="J89" s="76">
        <v>1499</v>
      </c>
      <c r="K89" s="79" t="str">
        <f>HYPERLINK("https://amzn.to/2yspzBm","link*")</f>
        <v>link*</v>
      </c>
      <c r="L89" s="79" t="str">
        <f>HYPERLINK("https://www.bhphotovideo.com/c/product/1189220-REG/zeiss_2131_999_loxia_21mm_f_2_8_lens.html/BI/19619/KBID/12129/DFF/d10-v21-t1-x677077/SID/EZ","link*")</f>
        <v>link*</v>
      </c>
      <c r="M89" s="79" t="str">
        <f>HYPERLINK("https://amzn.to/2GHSOoA","link*")</f>
        <v>link*</v>
      </c>
      <c r="N89" s="79"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c r="O89" s="84">
        <v>25</v>
      </c>
      <c r="P89" s="70" t="s">
        <v>27</v>
      </c>
      <c r="Q89" s="74">
        <v>10</v>
      </c>
      <c r="R89" s="136" t="s">
        <v>132</v>
      </c>
      <c r="S89" s="74" t="s">
        <v>87</v>
      </c>
      <c r="T89" s="88">
        <v>42339</v>
      </c>
    </row>
    <row r="90" spans="1:21" ht="13" hidden="1">
      <c r="A90" s="126" t="str">
        <f>HYPERLINK("https://phillipreeve.net/blog/voigtlander-21mm-f35-review/","Voigtlander 21mm F3.5 Color-Skopar")</f>
        <v>Voigtlander 21mm F3.5 Color-Skopar</v>
      </c>
      <c r="B90" s="60">
        <v>230</v>
      </c>
      <c r="C90" s="67">
        <v>21</v>
      </c>
      <c r="D90" s="64">
        <v>3.5</v>
      </c>
      <c r="E90" s="194">
        <v>63</v>
      </c>
      <c r="F90" s="176">
        <v>40</v>
      </c>
      <c r="G90" s="70" t="s">
        <v>25</v>
      </c>
      <c r="H90" s="72" t="s">
        <v>131</v>
      </c>
      <c r="I90" s="125"/>
      <c r="J90" s="76">
        <v>699</v>
      </c>
      <c r="K90" s="79" t="str">
        <f>HYPERLINK("https://amzn.to/2JCie75","link*")</f>
        <v>link*</v>
      </c>
      <c r="L90" s="79" t="str">
        <f>HYPERLINK("https://www.bhphotovideo.com/c/product/1437613-REG/voigtlander_color_skopar_21mm_f_3_5_aspherical.html/BI/19619/KBID/12129/kw/VO2135E/DFF/d10-v2-t1-xVO2135E","link*")</f>
        <v>link*</v>
      </c>
      <c r="M90" s="79" t="str">
        <f>HYPERLINK("https://amzn.to/2ZoERan","link*")</f>
        <v>link*</v>
      </c>
      <c r="N90" s="79"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O90" s="84">
        <v>20</v>
      </c>
      <c r="P90" s="70" t="s">
        <v>27</v>
      </c>
      <c r="Q90" s="74">
        <v>10</v>
      </c>
      <c r="R90" s="136" t="s">
        <v>91</v>
      </c>
      <c r="S90" s="74" t="s">
        <v>29</v>
      </c>
      <c r="T90" s="88">
        <v>43374</v>
      </c>
    </row>
    <row r="91" spans="1:21" ht="13" hidden="1">
      <c r="A91" s="126" t="str">
        <f>HYPERLINK("https://phillipreeve.net/blog/review-sony-fe-24mm-1-4-gm/","Sony GM 1.4/24")</f>
        <v>Sony GM 1.4/24</v>
      </c>
      <c r="B91" s="60">
        <v>445</v>
      </c>
      <c r="C91" s="67">
        <v>24</v>
      </c>
      <c r="D91" s="192">
        <v>1.4</v>
      </c>
      <c r="E91" s="194">
        <v>75</v>
      </c>
      <c r="F91" s="195">
        <v>92</v>
      </c>
      <c r="G91" s="70" t="s">
        <v>36</v>
      </c>
      <c r="H91" s="72" t="s">
        <v>73</v>
      </c>
      <c r="I91" s="74">
        <v>0.17</v>
      </c>
      <c r="J91" s="76">
        <v>1399</v>
      </c>
      <c r="K91" s="79" t="str">
        <f>HYPERLINK("https://amzn.to/2ywcbw1","link*")</f>
        <v>link*</v>
      </c>
      <c r="L91" s="79" t="str">
        <f>HYPERLINK("https://www.bhphotovideo.com/c/product/1435887-REG/sony_fe_24mm_f_1_4_gm.html/BI/19619/KBID/12129/DFF/d10-v21-t1-x915647/SID/EZ","link*")</f>
        <v>link*</v>
      </c>
      <c r="M91" s="79" t="str">
        <f>HYPERLINK("https://amzn.to/2L2tV9y","link*")</f>
        <v>link*</v>
      </c>
      <c r="N91" s="79" t="str">
        <f>HYPERLINK("https://amzn.to/338yg28","link*")</f>
        <v>link*</v>
      </c>
      <c r="O91" s="84">
        <v>25</v>
      </c>
      <c r="P91" s="70" t="s">
        <v>27</v>
      </c>
      <c r="Q91" s="74">
        <v>11</v>
      </c>
      <c r="R91" s="136" t="s">
        <v>28</v>
      </c>
      <c r="S91" s="74" t="s">
        <v>41</v>
      </c>
      <c r="T91" s="88">
        <v>43374</v>
      </c>
    </row>
    <row r="92" spans="1:21" ht="13" hidden="1">
      <c r="A92" s="58" t="s">
        <v>121</v>
      </c>
      <c r="B92" s="60">
        <v>665</v>
      </c>
      <c r="C92" s="67">
        <v>24</v>
      </c>
      <c r="D92" s="192">
        <v>1.4</v>
      </c>
      <c r="E92" s="194">
        <v>85</v>
      </c>
      <c r="F92" s="195">
        <v>90</v>
      </c>
      <c r="G92" s="74" t="s">
        <v>36</v>
      </c>
      <c r="H92" s="72" t="s">
        <v>80</v>
      </c>
      <c r="I92" s="74">
        <v>0.19</v>
      </c>
      <c r="J92" s="76">
        <v>849</v>
      </c>
      <c r="K92" s="79" t="str">
        <f>HYPERLINK("https://amzn.to/2Isw2Rv","link*")</f>
        <v>link*</v>
      </c>
      <c r="L92" s="79" t="str">
        <f>HYPERLINK("https://www.bhphotovideo.com/c/product/1393491-REG/sigma_24mm_f_1_4_dg_hsm.html/BI/19619/KBID/12129/kw/SI2414SO/DFF/d10-v2-t1-xSI2414SO","link*")</f>
        <v>link*</v>
      </c>
      <c r="M92" s="79" t="str">
        <f>HYPERLINK("https://amzn.to/2K7sIP4","link*")</f>
        <v>link*</v>
      </c>
      <c r="N92" s="79"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O92" s="84">
        <v>25</v>
      </c>
      <c r="P92" s="70" t="s">
        <v>27</v>
      </c>
      <c r="Q92" s="74">
        <v>9</v>
      </c>
      <c r="R92" s="112">
        <v>43784</v>
      </c>
      <c r="S92" s="74" t="s">
        <v>47</v>
      </c>
      <c r="T92" s="88">
        <v>43221</v>
      </c>
      <c r="U92" s="77" t="s">
        <v>48</v>
      </c>
    </row>
    <row r="93" spans="1:21" ht="13" hidden="1">
      <c r="A93" s="126" t="str">
        <f>HYPERLINK("https://phillipreeve.net/blog/review-samyang-af-2-4-28-fe-at-least-its-small/","Samyang AF 24mm F/2.8")</f>
        <v>Samyang AF 24mm F/2.8</v>
      </c>
      <c r="B93" s="60">
        <v>93</v>
      </c>
      <c r="C93" s="67">
        <v>24</v>
      </c>
      <c r="D93" s="64">
        <v>2.8</v>
      </c>
      <c r="E93" s="194">
        <v>61</v>
      </c>
      <c r="F93" s="176">
        <v>37</v>
      </c>
      <c r="G93" s="70" t="s">
        <v>36</v>
      </c>
      <c r="H93" s="72" t="s">
        <v>124</v>
      </c>
      <c r="I93" s="74">
        <v>0.15</v>
      </c>
      <c r="J93" s="184">
        <v>279</v>
      </c>
      <c r="K93" s="79" t="str">
        <f>HYPERLINK("https://amzn.to/2NEHZ7c","link*")</f>
        <v>link*</v>
      </c>
      <c r="L93" s="79" t="str">
        <f>HYPERLINK("https://www.bhphotovideo.com/c/product/1413350-REG/samyang_syio24af_e_af_24mm_f_2_8_fe.html/BI/19619/KBID/12129/kw/SASYIO24AFE/DFF/d10-v2-t1-xSASYIO24AFE","link*")</f>
        <v>link*</v>
      </c>
      <c r="M93" s="79" t="str">
        <f>HYPERLINK("https://amzn.to/2Onv1QE","link*")</f>
        <v>link*</v>
      </c>
      <c r="N93"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93" s="84">
        <v>20</v>
      </c>
      <c r="P93" s="70" t="s">
        <v>27</v>
      </c>
      <c r="Q93" s="74">
        <v>9</v>
      </c>
      <c r="R93" s="136" t="s">
        <v>127</v>
      </c>
      <c r="S93" s="74" t="s">
        <v>38</v>
      </c>
      <c r="T93" s="88">
        <v>43282</v>
      </c>
    </row>
    <row r="94" spans="1:21" ht="13" hidden="1">
      <c r="A94" s="196" t="str">
        <f>HYPERLINK("https://phillipreeve.net/blog/review-sony-fe-2-824-70mm-gm/","Sony GM 2.8/24-70")</f>
        <v>Sony GM 2.8/24-70</v>
      </c>
      <c r="B94" s="60">
        <v>886</v>
      </c>
      <c r="C94" s="67">
        <v>24</v>
      </c>
      <c r="D94" s="64">
        <v>2.8</v>
      </c>
      <c r="E94" s="194">
        <v>88</v>
      </c>
      <c r="F94" s="176">
        <v>136</v>
      </c>
      <c r="G94" s="70" t="s">
        <v>36</v>
      </c>
      <c r="H94" s="72" t="s">
        <v>68</v>
      </c>
      <c r="I94" s="201">
        <v>0.25</v>
      </c>
      <c r="J94" s="76">
        <v>2199</v>
      </c>
      <c r="K94" s="79" t="str">
        <f>HYPERLINK("https://amzn.to/2STHavK","link*")</f>
        <v>link*</v>
      </c>
      <c r="L94" s="79" t="str">
        <f>HYPERLINK("https://www.bhphotovideo.com/c/search?Ntt=gm%2024-70&amp;N=0&amp;InitialSearch=yes&amp;sts=ma&amp;Top+Nav-Search=&amp;BI=19619&amp;KBID=12129&amp;KWID=EZ","link*")</f>
        <v>link*</v>
      </c>
      <c r="M94" s="79" t="str">
        <f>HYPERLINK("https://amzn.to/2ZwoyU7","link*")</f>
        <v>link*</v>
      </c>
      <c r="N94"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94" s="84">
        <v>38</v>
      </c>
      <c r="P94" s="70" t="s">
        <v>27</v>
      </c>
      <c r="Q94" s="74">
        <v>11</v>
      </c>
      <c r="R94" s="136" t="s">
        <v>54</v>
      </c>
      <c r="S94" s="74" t="s">
        <v>41</v>
      </c>
      <c r="T94" s="88">
        <v>42401</v>
      </c>
    </row>
    <row r="95" spans="1:21" ht="13" hidden="1">
      <c r="A95" s="58" t="s">
        <v>129</v>
      </c>
      <c r="B95" s="60">
        <v>780</v>
      </c>
      <c r="C95" s="67">
        <v>24</v>
      </c>
      <c r="D95" s="64" t="s">
        <v>130</v>
      </c>
      <c r="E95" s="194">
        <v>80</v>
      </c>
      <c r="F95" s="176">
        <v>119</v>
      </c>
      <c r="G95" s="70" t="s">
        <v>36</v>
      </c>
      <c r="H95" s="72" t="s">
        <v>64</v>
      </c>
      <c r="I95" s="201">
        <v>0.27</v>
      </c>
      <c r="J95" s="76">
        <v>998</v>
      </c>
      <c r="K95" s="79" t="str">
        <f>HYPERLINK("http://amzn.to/2fbX5FU","link*")</f>
        <v>link*</v>
      </c>
      <c r="L95" s="79" t="str">
        <f>HYPERLINK("https://www.bhphotovideo.com/c/search?Ntt=sony%2024-240&amp;N=0&amp;InitialSearch=yes&amp;sts=ma&amp;Top+Nav-Search=&amp;BI=19619&amp;KBID=12129&amp;KWID=EZ","link*")</f>
        <v>link*</v>
      </c>
      <c r="M95" s="79" t="str">
        <f>HYPERLINK("http://amzn.to/2wyrL7A","link*")</f>
        <v>link*</v>
      </c>
      <c r="N95"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95" s="84">
        <v>50</v>
      </c>
      <c r="P95" s="134" t="s">
        <v>66</v>
      </c>
      <c r="Q95" s="74">
        <v>7</v>
      </c>
      <c r="R95" s="136" t="s">
        <v>133</v>
      </c>
      <c r="S95" s="74" t="s">
        <v>41</v>
      </c>
      <c r="T95" s="88">
        <v>42064</v>
      </c>
    </row>
    <row r="96" spans="1:21" ht="13" hidden="1">
      <c r="A96" s="58" t="s">
        <v>134</v>
      </c>
      <c r="B96" s="60">
        <v>663</v>
      </c>
      <c r="C96" s="67">
        <v>24</v>
      </c>
      <c r="D96" s="64">
        <v>4</v>
      </c>
      <c r="E96" s="194">
        <v>83</v>
      </c>
      <c r="F96" s="195">
        <v>113</v>
      </c>
      <c r="G96" s="70" t="s">
        <v>36</v>
      </c>
      <c r="H96" s="72" t="s">
        <v>80</v>
      </c>
      <c r="I96" s="201">
        <v>0.31</v>
      </c>
      <c r="J96" s="76">
        <v>1398</v>
      </c>
      <c r="K96" s="79" t="str">
        <f>HYPERLINK("https://amzn.to/2K7LwMR","link*")</f>
        <v>link*</v>
      </c>
      <c r="L96" s="79" t="str">
        <f>HYPERLINK("https://www.bhphotovideo.com/c/search?Ntt=sony%2024-105&amp;N=0&amp;InitialSearch=yes&amp;sts=ma&amp;Top+Nav-Search=&amp;BI=19619&amp;KBID=12129&amp;KWID=EZ","link*")</f>
        <v>link*</v>
      </c>
      <c r="M96" s="79" t="str">
        <f>HYPERLINK("https://amzn.to/2Ld8hOS","link*")</f>
        <v>link*</v>
      </c>
      <c r="N96"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96" s="84">
        <v>38</v>
      </c>
      <c r="P96" s="134" t="s">
        <v>66</v>
      </c>
      <c r="Q96" s="74">
        <v>9</v>
      </c>
      <c r="R96" s="136" t="s">
        <v>135</v>
      </c>
      <c r="S96" s="74" t="s">
        <v>41</v>
      </c>
      <c r="T96" s="88">
        <v>43009</v>
      </c>
    </row>
    <row r="97" spans="1:21" ht="13" hidden="1">
      <c r="A97" s="126" t="str">
        <f>HYPERLINK("https://phillipreeve.net/blog/rolling-review-carl-zeiss-vario-tessar-t-fe-424-70-za/","Sony ZA 4/24-70 OSS")</f>
        <v>Sony ZA 4/24-70 OSS</v>
      </c>
      <c r="B97" s="60">
        <v>426</v>
      </c>
      <c r="C97" s="67">
        <v>24</v>
      </c>
      <c r="D97" s="64">
        <v>4</v>
      </c>
      <c r="E97" s="194">
        <v>73</v>
      </c>
      <c r="F97" s="195">
        <v>95</v>
      </c>
      <c r="G97" s="70" t="s">
        <v>36</v>
      </c>
      <c r="H97" s="72" t="s">
        <v>73</v>
      </c>
      <c r="I97" s="74">
        <v>0.2</v>
      </c>
      <c r="J97" s="76">
        <v>898</v>
      </c>
      <c r="K97" s="79" t="str">
        <f>HYPERLINK("http://amzn.to/2vlG2Yq","link*")</f>
        <v>link*</v>
      </c>
      <c r="L97" s="79" t="str">
        <f>HYPERLINK("https://www.bhphotovideo.com/c/product/1008126-REG/sony_sel2470z_vario_tessar_t_fe_24_70mm.html/BI/19619/KBID/12129/DFF/d10-v21-t1-x466842/SID/EZ","link*")</f>
        <v>link*</v>
      </c>
      <c r="M97" s="79" t="str">
        <f>HYPERLINK("http://amzn.to/2fl1XZk","link*")</f>
        <v>link*</v>
      </c>
      <c r="N97" s="79"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97" s="84">
        <v>40</v>
      </c>
      <c r="P97" s="134" t="s">
        <v>66</v>
      </c>
      <c r="Q97" s="74">
        <v>7</v>
      </c>
      <c r="R97" s="136" t="s">
        <v>43</v>
      </c>
      <c r="S97" s="74" t="s">
        <v>41</v>
      </c>
      <c r="T97" s="88">
        <v>41640</v>
      </c>
    </row>
    <row r="98" spans="1:21" ht="13">
      <c r="A98" s="126" t="str">
        <f>HYPERLINK("https://phillipreeve.net/blog/review-zeiss-batis-distagon-t-25mm-f2/","Zeiss Batis 2/25")</f>
        <v>Zeiss Batis 2/25</v>
      </c>
      <c r="B98" s="60">
        <v>335</v>
      </c>
      <c r="C98" s="67">
        <v>25</v>
      </c>
      <c r="D98" s="64">
        <v>2</v>
      </c>
      <c r="E98" s="194">
        <v>92</v>
      </c>
      <c r="F98" s="195">
        <v>78</v>
      </c>
      <c r="G98" s="70" t="s">
        <v>36</v>
      </c>
      <c r="H98" s="72" t="s">
        <v>73</v>
      </c>
      <c r="I98" s="74">
        <v>0.19</v>
      </c>
      <c r="J98" s="76">
        <v>1299</v>
      </c>
      <c r="K98" s="79" t="str">
        <f>HYPERLINK("https://amzn.to/2ypHQiT","link*")</f>
        <v>link*</v>
      </c>
      <c r="L98" s="79" t="str">
        <f>HYPERLINK("https://www.bhphotovideo.com/c/product/1140832-REG/zeiss_2103_750_25mm_f_2_0_batis_wide.html/BI/19619/KBID/12129/DFF/d10-v21-t1-x627141/SID/EZ","link*")</f>
        <v>link*</v>
      </c>
      <c r="M98" s="79" t="str">
        <f>HYPERLINK("https://amzn.to/2L20DIj","link*")</f>
        <v>link*</v>
      </c>
      <c r="N98" s="7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98" s="84">
        <v>20</v>
      </c>
      <c r="P98" s="70" t="s">
        <v>27</v>
      </c>
      <c r="Q98" s="74">
        <v>9</v>
      </c>
      <c r="R98" s="136" t="s">
        <v>140</v>
      </c>
      <c r="S98" s="74" t="s">
        <v>87</v>
      </c>
      <c r="T98" s="88">
        <v>42125</v>
      </c>
    </row>
    <row r="99" spans="1:21" ht="13">
      <c r="A99" s="126" t="str">
        <f>HYPERLINK("https://phillipreeve.net/blog/review-zeiss-loxia-2-4-25mm-distagon/","Zeiss Loxia 2.4/25")</f>
        <v>Zeiss Loxia 2.4/25</v>
      </c>
      <c r="B99" s="60">
        <v>393</v>
      </c>
      <c r="C99" s="67">
        <v>25</v>
      </c>
      <c r="D99" s="64">
        <v>2.4</v>
      </c>
      <c r="E99" s="194">
        <v>62</v>
      </c>
      <c r="F99" s="195">
        <v>75</v>
      </c>
      <c r="G99" s="70" t="s">
        <v>25</v>
      </c>
      <c r="H99" s="72" t="s">
        <v>131</v>
      </c>
      <c r="I99" s="74">
        <v>0.16</v>
      </c>
      <c r="J99" s="76">
        <v>1299</v>
      </c>
      <c r="K99" s="79" t="str">
        <f>HYPERLINK("https://amzn.to/2OlyeAf","link*")</f>
        <v>link*</v>
      </c>
      <c r="L99" s="79" t="str">
        <f>HYPERLINK("https://www.bhphotovideo.com/c/product/1389169-REG/zeiss_000000_2218_783_loxia_25mm_f_2_4_lens.html/BI/19619/KBID/12129/kw/ZE2524L/DFF/d10-v2-t1-xZE2524L","link*")</f>
        <v>link*</v>
      </c>
      <c r="M99" s="79" t="str">
        <f>HYPERLINK("https://amzn.to/2OlyeAf","link*")</f>
        <v>link*</v>
      </c>
      <c r="N99" s="79" t="e">
        <f>HYPERLINK("http://rover.ebay.com/rover/1/711-53200-19255-0/1?icep_ff3=9&amp;pub=5575076376&amp;toolid=10001&amp;campid=5338573609&amp;customid=&amp;icep_uq=Zeissloxia+25mm&amp;icep_sellerId=&amp;icep_ex_kw=&amp;icep_sortBy=12&amp;icep_catId=3323&amp;icep_minPrice=&amp;icep_maxPrice=&amp;ipn=psmain&amp;icep_vectorid=2"&amp;"29466&amp;kwid=902099&amp;mtid=824&amp;kw=lg","link*")</f>
        <v>#VALUE!</v>
      </c>
      <c r="O99" s="84">
        <v>25</v>
      </c>
      <c r="P99" s="70" t="s">
        <v>27</v>
      </c>
      <c r="Q99" s="74">
        <v>10</v>
      </c>
      <c r="R99" s="136" t="s">
        <v>140</v>
      </c>
      <c r="S99" s="74" t="s">
        <v>87</v>
      </c>
      <c r="T99" s="88">
        <v>43160</v>
      </c>
    </row>
    <row r="100" spans="1:21" ht="13" hidden="1">
      <c r="A100" s="58" t="s">
        <v>141</v>
      </c>
      <c r="B100" s="60">
        <v>965</v>
      </c>
      <c r="C100" s="67">
        <v>28</v>
      </c>
      <c r="D100" s="64">
        <v>1.4</v>
      </c>
      <c r="E100" s="194">
        <v>83</v>
      </c>
      <c r="F100" s="195">
        <v>134</v>
      </c>
      <c r="G100" s="70" t="s">
        <v>36</v>
      </c>
      <c r="H100" s="72" t="s">
        <v>80</v>
      </c>
      <c r="I100" s="74">
        <v>0.19</v>
      </c>
      <c r="J100" s="76">
        <v>1399</v>
      </c>
      <c r="K100" s="79" t="str">
        <f>HYPERLINK("https://amzn.to/2Wn0pxO","link*")</f>
        <v>link*</v>
      </c>
      <c r="L100" s="79" t="str">
        <f>HYPERLINK("https://www.bhphotovideo.com/c/product/1436285-REG/sigma_28mm_f_1_4_dg_hsm.html/BI/19619/KBID/12129/kw/SI2814DGSE/DFF/d10-v2-t1-xSI2814DGSE","link*")</f>
        <v>link*</v>
      </c>
      <c r="M100" s="79" t="str">
        <f>HYPERLINK("https://amzn.to/2WzVkHd","link*")</f>
        <v>link*</v>
      </c>
      <c r="N100" s="79"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c r="O100" s="84">
        <v>28</v>
      </c>
      <c r="P100" s="70" t="s">
        <v>27</v>
      </c>
      <c r="Q100" s="74">
        <v>9</v>
      </c>
      <c r="R100" s="136" t="s">
        <v>133</v>
      </c>
      <c r="S100" s="74" t="s">
        <v>47</v>
      </c>
      <c r="T100" s="88">
        <v>43435</v>
      </c>
    </row>
    <row r="101" spans="1:21" ht="13" hidden="1">
      <c r="A101" s="126" t="str">
        <f>HYPERLINK("https://www.systemkamera-forum.de/blog/2015/05/sony-fe-28mm-f2-test-und-erfahrungsbericht/","Sony FE 2/28")</f>
        <v>Sony FE 2/28</v>
      </c>
      <c r="B101" s="60">
        <v>200</v>
      </c>
      <c r="C101" s="67">
        <v>28</v>
      </c>
      <c r="D101" s="64">
        <v>2</v>
      </c>
      <c r="E101" s="194">
        <v>60</v>
      </c>
      <c r="F101" s="195">
        <v>60</v>
      </c>
      <c r="G101" s="70" t="s">
        <v>36</v>
      </c>
      <c r="H101" s="72" t="s">
        <v>124</v>
      </c>
      <c r="I101" s="74">
        <v>0.13</v>
      </c>
      <c r="J101" s="156">
        <v>448</v>
      </c>
      <c r="K101" s="79" t="str">
        <f>HYPERLINK("https://amzn.to/2GXJWdo","link*")</f>
        <v>link*</v>
      </c>
      <c r="L101" s="79" t="str">
        <f>HYPERLINK("https://www.bhphotovideo.com/c/product/1402637-REG/sony_fe_28mm_f_2_lens.html/BI/19619/KBID/12129/kw/SO2820F/DFF/d10-v2-t1-xSO2820F","link*")</f>
        <v>link*</v>
      </c>
      <c r="M101" s="79" t="str">
        <f>HYPERLINK("http://amzn.to/2wyLOCO","link*")</f>
        <v>link*</v>
      </c>
      <c r="N101" s="79"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101" s="84">
        <v>29</v>
      </c>
      <c r="P101" s="70" t="s">
        <v>27</v>
      </c>
      <c r="Q101" s="74">
        <v>9</v>
      </c>
      <c r="R101" s="136" t="s">
        <v>91</v>
      </c>
      <c r="S101" s="74" t="s">
        <v>41</v>
      </c>
      <c r="T101" s="88">
        <v>42064</v>
      </c>
    </row>
    <row r="102" spans="1:21" ht="13" hidden="1">
      <c r="A102" s="126" t="str">
        <f>HYPERLINK("https://phillipreeve.net/blog/review-tamron-28-75mm-f-2-8-di-iii-rxd-sony-e-mount/","Tamron 2.8/28-75")</f>
        <v>Tamron 2.8/28-75</v>
      </c>
      <c r="B102" s="60">
        <v>550</v>
      </c>
      <c r="C102" s="67">
        <v>28</v>
      </c>
      <c r="D102" s="64">
        <v>2.8</v>
      </c>
      <c r="E102" s="194">
        <v>73</v>
      </c>
      <c r="F102" s="195">
        <v>118</v>
      </c>
      <c r="G102" s="70" t="s">
        <v>36</v>
      </c>
      <c r="H102" s="72" t="s">
        <v>73</v>
      </c>
      <c r="I102" s="201">
        <v>0.34</v>
      </c>
      <c r="J102" s="156">
        <v>879</v>
      </c>
      <c r="K102" s="79" t="str">
        <f>HYPERLINK("https://amzn.to/2ST5uxq","link*")</f>
        <v>link*</v>
      </c>
      <c r="L102" s="79" t="str">
        <f>HYPERLINK("https://www.bhphotovideo.com/c/product/1393332-REG/tamron_a036_28_75mm_f_2_8_di_iii.html/BI/19619/KBID/12129/DFF/d10-v21-t1-x892059/SID/EZ","link*")</f>
        <v>link*</v>
      </c>
      <c r="M102" s="79" t="str">
        <f>HYPERLINK("https://amzn.to/2ZmSzdU","link*")</f>
        <v>link*</v>
      </c>
      <c r="N102" s="79"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102" s="84">
        <v>19</v>
      </c>
      <c r="P102" s="70" t="s">
        <v>27</v>
      </c>
      <c r="Q102" s="74">
        <v>9</v>
      </c>
      <c r="R102" s="136" t="s">
        <v>122</v>
      </c>
      <c r="S102" s="74" t="s">
        <v>78</v>
      </c>
      <c r="T102" s="88">
        <v>43252</v>
      </c>
    </row>
    <row r="103" spans="1:21" ht="13" hidden="1">
      <c r="A103" s="58" t="s">
        <v>145</v>
      </c>
      <c r="B103" s="60">
        <v>295</v>
      </c>
      <c r="C103" s="67">
        <v>28</v>
      </c>
      <c r="D103" s="64" t="s">
        <v>146</v>
      </c>
      <c r="E103" s="194">
        <v>73</v>
      </c>
      <c r="F103" s="195">
        <v>83</v>
      </c>
      <c r="G103" s="70" t="s">
        <v>36</v>
      </c>
      <c r="H103" s="72" t="s">
        <v>147</v>
      </c>
      <c r="I103" s="74">
        <v>0.19</v>
      </c>
      <c r="J103" s="76">
        <v>398</v>
      </c>
      <c r="K103" s="79" t="str">
        <f>HYPERLINK("https://www.amazon.com/gp/product/B00FYOFADE/ref=as_li_tl?ie=UTF8&amp;tag=wwwphillipree-20&amp;camp=1789&amp;creative=9325&amp;linkCode=as2&amp;creativeASIN=B00FYOFADE&amp;linkId=96720b245156eae53bb1a672d4453d3f","link*")</f>
        <v>link*</v>
      </c>
      <c r="L103" s="79" t="str">
        <f>HYPERLINK("https://www.bhphotovideo.com/c/product/1015472-REG/sony_sel2870_fe_28_70mm_f_3_5_5_6_oss.html/BI/19619/KBID/12129/DFF/d10-v21-t1-x473993/SID/EZ","link*")</f>
        <v>link*</v>
      </c>
      <c r="M103" s="79" t="str">
        <f>HYPERLINK("https://www.amazon.de/gp/product/B00HSHFPD0/ref=as_li_tl?ie=UTF8&amp;tag=wwwphillipree-21&amp;camp=1638&amp;creative=6742&amp;linkCode=as2&amp;creativeASIN=B00HSHFPD0&amp;linkId=6701f30673f8a4071232ca85e1953506","link*")</f>
        <v>link*</v>
      </c>
      <c r="N103" s="79"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103" s="84">
        <v>30</v>
      </c>
      <c r="P103" s="134" t="s">
        <v>66</v>
      </c>
      <c r="Q103" s="74">
        <v>7</v>
      </c>
      <c r="R103" s="136" t="s">
        <v>91</v>
      </c>
      <c r="S103" s="74" t="s">
        <v>41</v>
      </c>
      <c r="T103" s="88">
        <v>41548</v>
      </c>
    </row>
    <row r="104" spans="1:21" ht="13" hidden="1">
      <c r="A104" s="58" t="s">
        <v>151</v>
      </c>
      <c r="B104" s="60">
        <v>1215</v>
      </c>
      <c r="C104" s="67">
        <v>28</v>
      </c>
      <c r="D104" s="64">
        <v>4</v>
      </c>
      <c r="E104" s="194">
        <v>105</v>
      </c>
      <c r="F104" s="195">
        <v>165</v>
      </c>
      <c r="G104" s="70" t="s">
        <v>36</v>
      </c>
      <c r="H104" s="234" t="s">
        <v>152</v>
      </c>
      <c r="I104" s="125"/>
      <c r="J104" s="76">
        <v>249</v>
      </c>
      <c r="K104" s="79" t="str">
        <f>HYPERLINK("http://amzn.to/2v2kiy9","link*")</f>
        <v>link*</v>
      </c>
      <c r="L104" s="79" t="str">
        <f>HYPERLINK("https://www.bhphotovideo.com/c/product/1082051-REG/sony_selp28135g_e_pz_28_135mm_f_4.html/BI/19619/KBID/12129/DFF/d10-v21-t1-x556056/SID/EZ","link*")</f>
        <v>link*</v>
      </c>
      <c r="M104" s="79" t="str">
        <f>HYPERLINK("http://amzn.to/2wlpg9b","link*")</f>
        <v>link*</v>
      </c>
      <c r="N104" s="79"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104" s="84">
        <v>40</v>
      </c>
      <c r="P104" s="134" t="s">
        <v>66</v>
      </c>
      <c r="Q104" s="74">
        <v>9</v>
      </c>
      <c r="R104" s="136" t="s">
        <v>153</v>
      </c>
      <c r="S104" s="74" t="s">
        <v>41</v>
      </c>
      <c r="T104" s="88">
        <v>41883</v>
      </c>
      <c r="U104" s="77" t="s">
        <v>154</v>
      </c>
    </row>
    <row r="105" spans="1:21" ht="13" hidden="1">
      <c r="A105" s="126" t="str">
        <f>HYPERLINK("https://phillipreeve.net/blog/review-sigma-35mm-1-2-art-dg-dn/","Sigma Art 1.2/35")</f>
        <v>Sigma Art 1.2/35</v>
      </c>
      <c r="B105" s="60">
        <v>1090</v>
      </c>
      <c r="C105" s="67">
        <v>35</v>
      </c>
      <c r="D105" s="235">
        <v>1.2</v>
      </c>
      <c r="E105" s="194">
        <v>88</v>
      </c>
      <c r="F105" s="195">
        <v>136</v>
      </c>
      <c r="G105" s="74" t="s">
        <v>36</v>
      </c>
      <c r="H105" s="236" t="s">
        <v>68</v>
      </c>
      <c r="I105" s="74">
        <v>0.19</v>
      </c>
      <c r="J105" s="76">
        <v>1499</v>
      </c>
      <c r="K105" s="79" t="str">
        <f>HYPERLINK("https://amzn.to/2LiHhxc","link*")</f>
        <v>link*</v>
      </c>
      <c r="L105" s="79" t="str">
        <f>HYPERLINK("https://www.bhphotovideo.com/c/product/1492967-REG/sigma_341969_35mm_f_1_2_dg_dn.html/BI/19619/KBID/12129/DFF/d10-v21-t1-x976038/SID/EZ","link*")</f>
        <v>link*</v>
      </c>
      <c r="M105" s="113"/>
      <c r="N105" s="79"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c r="O105" s="84">
        <v>30</v>
      </c>
      <c r="P105" s="70" t="s">
        <v>27</v>
      </c>
      <c r="Q105" s="74">
        <v>11</v>
      </c>
      <c r="R105" s="112">
        <v>43816</v>
      </c>
      <c r="S105" s="74" t="s">
        <v>47</v>
      </c>
      <c r="T105" s="88">
        <v>43647</v>
      </c>
    </row>
    <row r="106" spans="1:21" ht="13" hidden="1">
      <c r="A106" s="126" t="str">
        <f>HYPERLINK("https://phillipreeve.net/blog/review-sony-fe-35mm-1-4-za/","Sony ZA 1.4/35")</f>
        <v>Sony ZA 1.4/35</v>
      </c>
      <c r="B106" s="60">
        <v>630</v>
      </c>
      <c r="C106" s="67">
        <v>35</v>
      </c>
      <c r="D106" s="64">
        <v>1.4</v>
      </c>
      <c r="E106" s="194">
        <v>79</v>
      </c>
      <c r="F106" s="195">
        <v>112</v>
      </c>
      <c r="G106" s="74" t="s">
        <v>36</v>
      </c>
      <c r="H106" s="72" t="s">
        <v>64</v>
      </c>
      <c r="I106" s="74">
        <v>0.18</v>
      </c>
      <c r="J106" s="76">
        <v>1599</v>
      </c>
      <c r="K106" s="79" t="str">
        <f>HYPERLINK("https://amzn.to/2LRSMOS","link*")</f>
        <v>link*</v>
      </c>
      <c r="L106" s="79" t="str">
        <f>HYPERLINK("https://www.bhphotovideo.com/c/product/1126137-REG/sony_sel35f14z_distagon_t_fe_35mm.html/BI/19619/KBID/12129/DFF/d10-v21-t1-x612725/SID/EZ","link*")</f>
        <v>link*</v>
      </c>
      <c r="M106" s="79" t="str">
        <f>HYPERLINK("https://amzn.to/2ZmfSnX","link*")</f>
        <v>link*</v>
      </c>
      <c r="N106" s="79"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106" s="84">
        <v>30</v>
      </c>
      <c r="P106" s="70" t="s">
        <v>27</v>
      </c>
      <c r="Q106" s="74">
        <v>9</v>
      </c>
      <c r="R106" s="112">
        <v>43689</v>
      </c>
      <c r="S106" s="74" t="s">
        <v>41</v>
      </c>
      <c r="T106" s="88">
        <v>42064</v>
      </c>
    </row>
    <row r="107" spans="1:21" ht="13" hidden="1">
      <c r="A107" s="58" t="s">
        <v>155</v>
      </c>
      <c r="B107" s="60">
        <v>645</v>
      </c>
      <c r="C107" s="67">
        <v>35</v>
      </c>
      <c r="D107" s="64">
        <v>1.4</v>
      </c>
      <c r="E107" s="194">
        <v>76</v>
      </c>
      <c r="F107" s="176">
        <v>115</v>
      </c>
      <c r="G107" s="74" t="s">
        <v>36</v>
      </c>
      <c r="H107" s="72" t="s">
        <v>73</v>
      </c>
      <c r="I107" s="74">
        <v>0.17</v>
      </c>
      <c r="J107" s="76">
        <v>799</v>
      </c>
      <c r="K107" s="79" t="str">
        <f>HYPERLINK("https://amzn.to/2K8DDXH","link*")</f>
        <v>link*</v>
      </c>
      <c r="L107" s="79" t="str">
        <f t="shared" ref="L107:L108" si="0">HYPERLINK("https://www.bhphotovideo.com/c/product/1381712-REG/voigtlander_nokton_classic_35mm_f_1_4.html/BI/19619/KBID/12129/DFF/d10-v21-t1-x877353/SID/EZ","link*")</f>
        <v>link*</v>
      </c>
      <c r="M107" s="79" t="str">
        <f>HYPERLINK("https://amzn.to/2Zhl3FI","link*")</f>
        <v>link*</v>
      </c>
      <c r="N107" s="79"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107" s="84">
        <v>30</v>
      </c>
      <c r="P107" s="70" t="s">
        <v>27</v>
      </c>
      <c r="Q107" s="74">
        <v>9</v>
      </c>
      <c r="R107" s="112">
        <v>43719</v>
      </c>
      <c r="S107" s="74" t="s">
        <v>38</v>
      </c>
      <c r="T107" s="88">
        <v>43009</v>
      </c>
      <c r="U107" s="77" t="s">
        <v>156</v>
      </c>
    </row>
    <row r="108" spans="1:21" ht="13" hidden="1">
      <c r="A108" s="126" t="str">
        <f>HYPERLINK("https://phillipreeve.net/blog/review-voigtlander-35mm-1-4-nokton-e-classic/","Voigtlander 35mm F1.4 Nokton Classic")</f>
        <v>Voigtlander 35mm F1.4 Nokton Classic</v>
      </c>
      <c r="B108" s="60">
        <v>262</v>
      </c>
      <c r="C108" s="67">
        <v>35</v>
      </c>
      <c r="D108" s="64">
        <v>1.4</v>
      </c>
      <c r="E108" s="194">
        <v>67</v>
      </c>
      <c r="F108" s="176">
        <v>40</v>
      </c>
      <c r="G108" s="74" t="s">
        <v>25</v>
      </c>
      <c r="H108" s="72" t="s">
        <v>71</v>
      </c>
      <c r="I108" s="74">
        <v>0.16</v>
      </c>
      <c r="J108" s="76">
        <v>799</v>
      </c>
      <c r="K108" s="79" t="str">
        <f>HYPERLINK("https://amzn.to/2M1M8WH","link*")</f>
        <v>link*</v>
      </c>
      <c r="L108" s="79" t="str">
        <f t="shared" si="0"/>
        <v>link*</v>
      </c>
      <c r="M108" s="79" t="str">
        <f>HYPERLINK("https://amzn.to/2ZswTZ3","link*")</f>
        <v>link*</v>
      </c>
      <c r="N108" s="79"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c r="O108" s="84">
        <v>30</v>
      </c>
      <c r="P108" s="70" t="s">
        <v>27</v>
      </c>
      <c r="Q108" s="74">
        <v>10</v>
      </c>
      <c r="R108" s="112">
        <v>43624</v>
      </c>
      <c r="S108" s="74" t="s">
        <v>29</v>
      </c>
      <c r="T108" s="88">
        <v>43132</v>
      </c>
    </row>
    <row r="109" spans="1:21" ht="13" hidden="1">
      <c r="A109" s="126" t="str">
        <f>HYPERLINK("https://phillipreeve.net/blog/review-sigma-35mm-1-4-art/","Sigma Art 1.4/35")</f>
        <v>Sigma Art 1.4/35</v>
      </c>
      <c r="B109" s="60">
        <v>740</v>
      </c>
      <c r="C109" s="67">
        <v>35</v>
      </c>
      <c r="D109" s="64">
        <v>1.4</v>
      </c>
      <c r="E109" s="194">
        <v>77</v>
      </c>
      <c r="F109" s="176">
        <v>94</v>
      </c>
      <c r="G109" s="74" t="s">
        <v>36</v>
      </c>
      <c r="H109" s="72" t="s">
        <v>73</v>
      </c>
      <c r="I109" s="74">
        <v>0.19</v>
      </c>
      <c r="J109" s="156">
        <v>899</v>
      </c>
      <c r="K109" s="79" t="str">
        <f>HYPERLINK("https://amzn.to/2LOaQcZ","link*")</f>
        <v>link*</v>
      </c>
      <c r="L109" s="79" t="str">
        <f>HYPERLINK("https://www.bhphotovideo.com/c/product/1393492-REG/sigma_35mm_f_1_4_dg_hsm.html/BI/19619/KBID/12129/DFF/d10-v21-t1-x881157/SID/EZ","link*")</f>
        <v>link*</v>
      </c>
      <c r="M109" s="79" t="str">
        <f>HYPERLINK("https://amzn.to/2ZrfakE","link*")</f>
        <v>link*</v>
      </c>
      <c r="N109" s="79"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O109" s="84">
        <v>30</v>
      </c>
      <c r="P109" s="70" t="s">
        <v>27</v>
      </c>
      <c r="Q109" s="74">
        <v>9</v>
      </c>
      <c r="R109" s="112">
        <v>43782</v>
      </c>
      <c r="S109" s="74" t="s">
        <v>47</v>
      </c>
      <c r="T109" s="88">
        <v>43221</v>
      </c>
      <c r="U109" s="77" t="s">
        <v>48</v>
      </c>
    </row>
    <row r="110" spans="1:21" ht="13" hidden="1">
      <c r="A110" s="58" t="s">
        <v>157</v>
      </c>
      <c r="B110" s="60">
        <v>280</v>
      </c>
      <c r="C110" s="67">
        <v>35</v>
      </c>
      <c r="D110" s="64">
        <v>1.8</v>
      </c>
      <c r="E110" s="194">
        <v>66</v>
      </c>
      <c r="F110" s="176">
        <v>73</v>
      </c>
      <c r="G110" s="74" t="s">
        <v>36</v>
      </c>
      <c r="H110" s="72" t="s">
        <v>147</v>
      </c>
      <c r="I110" s="239">
        <v>0.24</v>
      </c>
      <c r="J110" s="76">
        <v>749</v>
      </c>
      <c r="K110" s="113"/>
      <c r="L110" s="79" t="str">
        <f>HYPERLINK("https://www.bhphotovideo.com/c/product/1492866-REG/sony_sel35f18f_35mm_f_1_8_fe_lens.html/BI/19619/KBID/12129/DFF/d10-v21-t1-x975763/SID/EZ","link*")</f>
        <v>link*</v>
      </c>
      <c r="M110" s="79" t="str">
        <f>HYPERLINK("https://amzn.to/2PiATLC","link*")</f>
        <v>link*</v>
      </c>
      <c r="N110" s="79"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110" s="84">
        <v>22</v>
      </c>
      <c r="P110" s="70" t="s">
        <v>27</v>
      </c>
      <c r="Q110" s="74">
        <v>9</v>
      </c>
      <c r="R110" s="112">
        <v>43719</v>
      </c>
      <c r="S110" s="74" t="s">
        <v>41</v>
      </c>
      <c r="T110" s="88">
        <v>43647</v>
      </c>
    </row>
    <row r="111" spans="1:21" ht="13">
      <c r="A111" s="126" t="str">
        <f>HYPERLINK("https://phillipreeve.net/blog/review-zeiss-loxia-35mm-2-0/","Zeiss Loxia 2/35 Biogon T*")</f>
        <v>Zeiss Loxia 2/35 Biogon T*</v>
      </c>
      <c r="B111" s="60">
        <v>340</v>
      </c>
      <c r="C111" s="67">
        <v>35</v>
      </c>
      <c r="D111" s="64">
        <v>2</v>
      </c>
      <c r="E111" s="194">
        <v>62</v>
      </c>
      <c r="F111" s="195">
        <v>66</v>
      </c>
      <c r="G111" s="74" t="s">
        <v>25</v>
      </c>
      <c r="H111" s="72" t="s">
        <v>131</v>
      </c>
      <c r="I111" s="74">
        <v>0.17</v>
      </c>
      <c r="J111" s="76">
        <v>1299</v>
      </c>
      <c r="K111" s="79" t="str">
        <f>HYPERLINK("https://amzn.to/2T2sJWe","link*")</f>
        <v>link*</v>
      </c>
      <c r="L111" s="79" t="str">
        <f>HYPERLINK("https://www.bhphotovideo.com/c/product/1080388-REG/zeiss_2103_749_loxia_35mm_f_2_biogon.html/BI/19619/KBID/12129/DFF/d10-v21-t1-x553792/SID/EZ","link*")</f>
        <v>link*</v>
      </c>
      <c r="M111" s="113" t="s">
        <v>51</v>
      </c>
      <c r="N111" s="79"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O111" s="84">
        <v>30</v>
      </c>
      <c r="P111" s="70" t="s">
        <v>27</v>
      </c>
      <c r="Q111" s="74">
        <v>10</v>
      </c>
      <c r="R111" s="112">
        <v>43625</v>
      </c>
      <c r="S111" s="74" t="s">
        <v>87</v>
      </c>
      <c r="T111" s="88">
        <v>41974</v>
      </c>
      <c r="U111" s="77" t="s">
        <v>166</v>
      </c>
    </row>
    <row r="112" spans="1:21" ht="13" hidden="1">
      <c r="A112" s="126" t="str">
        <f>HYPERLINK("http://www.photozone.de/sonyalphaff/865-zeiss35f28ff","Sony ZA 2.8/35")</f>
        <v>Sony ZA 2.8/35</v>
      </c>
      <c r="B112" s="60">
        <v>120</v>
      </c>
      <c r="C112" s="67">
        <v>35</v>
      </c>
      <c r="D112" s="64">
        <v>2.8</v>
      </c>
      <c r="E112" s="194">
        <v>62</v>
      </c>
      <c r="F112" s="195">
        <v>37</v>
      </c>
      <c r="G112" s="74" t="s">
        <v>36</v>
      </c>
      <c r="H112" s="72" t="s">
        <v>124</v>
      </c>
      <c r="I112" s="74">
        <v>0.12</v>
      </c>
      <c r="J112" s="76">
        <v>798</v>
      </c>
      <c r="K112" s="79" t="str">
        <f>HYPERLINK("https://amzn.to/2yvhL24","link*")</f>
        <v>link*</v>
      </c>
      <c r="L112" s="79" t="str">
        <f>HYPERLINK("https://www.bhphotovideo.com/c/product/1008123-REG/sony_sel35f28z_sonnar_t_fe_35mm.html/BI/19619/KBID/12129/DFF/d10-v21-t1-x466840/SID/EZ","link*")</f>
        <v>link*</v>
      </c>
      <c r="M112" s="113" t="s">
        <v>51</v>
      </c>
      <c r="N112" s="79"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112" s="84">
        <v>35</v>
      </c>
      <c r="P112" s="70" t="s">
        <v>27</v>
      </c>
      <c r="Q112" s="74">
        <v>9</v>
      </c>
      <c r="R112" s="112">
        <v>43592</v>
      </c>
      <c r="S112" s="74" t="s">
        <v>41</v>
      </c>
      <c r="T112" s="88">
        <v>41487</v>
      </c>
    </row>
    <row r="113" spans="1:21" ht="13" hidden="1">
      <c r="A113" s="58" t="s">
        <v>158</v>
      </c>
      <c r="B113" s="60">
        <v>86</v>
      </c>
      <c r="C113" s="67">
        <v>35</v>
      </c>
      <c r="D113" s="64">
        <v>2.8</v>
      </c>
      <c r="E113" s="194">
        <v>62</v>
      </c>
      <c r="F113" s="195">
        <v>33</v>
      </c>
      <c r="G113" s="74" t="s">
        <v>36</v>
      </c>
      <c r="H113" s="72" t="s">
        <v>124</v>
      </c>
      <c r="I113" s="74">
        <v>0.12</v>
      </c>
      <c r="J113" s="241">
        <v>399</v>
      </c>
      <c r="K113" s="79" t="str">
        <f t="shared" ref="K113:K114" si="1">HYPERLINK("https://amzn.to/2MGKrxp","link*")</f>
        <v>link*</v>
      </c>
      <c r="L113" s="79" t="str">
        <f>HYPERLINK("https://www.bhphotovideo.com/c/product/1348365-REG/samyang_syio35af_e_35mm_f2_8_compact_wide.html/BI/19619/KBID/12129/DFF/d10-v21-t1-x832776/SID/EZ","link*")</f>
        <v>link*</v>
      </c>
      <c r="M113" s="113" t="s">
        <v>51</v>
      </c>
      <c r="N113" s="79"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113" s="84">
        <v>35</v>
      </c>
      <c r="P113" s="70" t="s">
        <v>27</v>
      </c>
      <c r="Q113" s="74">
        <v>9</v>
      </c>
      <c r="R113" s="112">
        <v>43623</v>
      </c>
      <c r="S113" s="74" t="s">
        <v>38</v>
      </c>
      <c r="T113" s="88">
        <v>42917</v>
      </c>
    </row>
    <row r="114" spans="1:21" ht="13" hidden="1">
      <c r="A114" s="126" t="str">
        <f>HYPERLINK("https://phillipreeve.net/blog/voigtlander-40mm-f1-2-nokton-aspherical-rolling-review/","Voigtlander 40mm F1.2 Nokton")</f>
        <v>Voigtlander 40mm F1.2 Nokton</v>
      </c>
      <c r="B114" s="60">
        <v>420</v>
      </c>
      <c r="C114" s="67">
        <v>40</v>
      </c>
      <c r="D114" s="304">
        <v>1.2</v>
      </c>
      <c r="E114" s="194">
        <v>70</v>
      </c>
      <c r="F114" s="195">
        <v>59</v>
      </c>
      <c r="G114" s="74" t="s">
        <v>25</v>
      </c>
      <c r="H114" s="72" t="s">
        <v>71</v>
      </c>
      <c r="I114" s="74">
        <v>0.16</v>
      </c>
      <c r="J114" s="76">
        <v>1099</v>
      </c>
      <c r="K114" s="79" t="str">
        <f t="shared" si="1"/>
        <v>link*</v>
      </c>
      <c r="L114" s="79" t="str">
        <f>HYPERLINK("https://www.bhphotovideo.com/c/product/1362557-REG/voigtlander_nokton_40mm_f_1_2_aspherical.html/BI/19619/KBID/12129/DFF/d10-v21-t1-x851241/SID/EZ","link*")</f>
        <v>link*</v>
      </c>
      <c r="M114" s="113" t="s">
        <v>51</v>
      </c>
      <c r="N114" s="79"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c r="O114" s="84">
        <v>35</v>
      </c>
      <c r="P114" s="70" t="s">
        <v>27</v>
      </c>
      <c r="Q114" s="74">
        <v>10</v>
      </c>
      <c r="R114" s="112">
        <v>43624</v>
      </c>
      <c r="S114" s="74" t="s">
        <v>29</v>
      </c>
      <c r="T114" s="88">
        <v>43040</v>
      </c>
    </row>
    <row r="115" spans="1:21" ht="13" hidden="1">
      <c r="A115" s="126" t="str">
        <f>HYPERLINK("https://phillipreeve.net/blog/review-sigma-40mm-1-4-art/","Sigma Art 1.4/40")</f>
        <v>Sigma Art 1.4/40</v>
      </c>
      <c r="B115" s="60">
        <v>1200</v>
      </c>
      <c r="C115" s="67">
        <v>40</v>
      </c>
      <c r="D115" s="64">
        <v>1.4</v>
      </c>
      <c r="E115" s="194">
        <v>88</v>
      </c>
      <c r="F115" s="176">
        <v>157</v>
      </c>
      <c r="G115" s="74" t="s">
        <v>36</v>
      </c>
      <c r="H115" s="244" t="s">
        <v>68</v>
      </c>
      <c r="I115" s="74">
        <v>0.15</v>
      </c>
      <c r="J115" s="76">
        <v>1399</v>
      </c>
      <c r="K115" s="79" t="str">
        <f>HYPERLINK("https://amzn.to/2SYXFXq","link*")</f>
        <v>link*</v>
      </c>
      <c r="L115" s="79" t="str">
        <f>HYPERLINK("https://www.bhphotovideo.com/c/product/1436292-REG/sigma_40mm_f_1_4_dg_hsm.html/BI/19619/KBID/12129/DFF/d10-v21-t1-x925196/SID/EZ","link*")</f>
        <v>link*</v>
      </c>
      <c r="M115" s="113" t="s">
        <v>51</v>
      </c>
      <c r="N115" s="79"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O115" s="84">
        <v>40</v>
      </c>
      <c r="P115" s="70" t="s">
        <v>27</v>
      </c>
      <c r="Q115" s="74">
        <v>9</v>
      </c>
      <c r="R115" s="112">
        <v>43815</v>
      </c>
      <c r="S115" s="74" t="s">
        <v>47</v>
      </c>
      <c r="T115" s="88">
        <v>43435</v>
      </c>
      <c r="U115" s="77" t="s">
        <v>48</v>
      </c>
    </row>
    <row r="116" spans="1:21" ht="13">
      <c r="A116" s="126" t="str">
        <f>HYPERLINK("https://phillipreeve.net/blog/review-zeiss-batis-2-40-cf/","Zeiss Batis 2/40 CF T*")</f>
        <v>Zeiss Batis 2/40 CF T*</v>
      </c>
      <c r="B116" s="60">
        <v>361</v>
      </c>
      <c r="C116" s="67">
        <v>40</v>
      </c>
      <c r="D116" s="64">
        <v>2</v>
      </c>
      <c r="E116" s="194">
        <v>91</v>
      </c>
      <c r="F116" s="176">
        <v>93</v>
      </c>
      <c r="G116" s="74" t="s">
        <v>36</v>
      </c>
      <c r="H116" s="72" t="s">
        <v>73</v>
      </c>
      <c r="I116" s="239">
        <v>0.3</v>
      </c>
      <c r="J116" s="76">
        <v>1299</v>
      </c>
      <c r="K116" s="79" t="str">
        <f>HYPERLINK("https://amzn.to/2LUN0MF","link*")</f>
        <v>link*</v>
      </c>
      <c r="L116" s="79" t="str">
        <f>HYPERLINK("https://www.bhphotovideo.com/c/product/1436738-REG/zeiss_000000_2239_137_batis_40mm_f_2_cf.html/BI/19619/KBID/12129/DFF/d10-v21-t1-x915694/SID/EZ","link*")</f>
        <v>link*</v>
      </c>
      <c r="M116" s="113" t="s">
        <v>51</v>
      </c>
      <c r="N116" s="79"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116" s="84">
        <v>24</v>
      </c>
      <c r="P116" s="70" t="s">
        <v>27</v>
      </c>
      <c r="Q116" s="74">
        <v>9</v>
      </c>
      <c r="R116" s="112">
        <v>43686</v>
      </c>
      <c r="S116" s="74" t="s">
        <v>87</v>
      </c>
      <c r="T116" s="88">
        <v>43435</v>
      </c>
      <c r="U116" s="77" t="s">
        <v>159</v>
      </c>
    </row>
    <row r="117" spans="1:21" ht="13" hidden="1">
      <c r="A117" s="58" t="s">
        <v>160</v>
      </c>
      <c r="B117" s="60">
        <v>162</v>
      </c>
      <c r="C117" s="67">
        <v>45</v>
      </c>
      <c r="D117" s="64">
        <v>1.8</v>
      </c>
      <c r="E117" s="194">
        <v>62</v>
      </c>
      <c r="F117" s="176">
        <v>56</v>
      </c>
      <c r="G117" s="74" t="s">
        <v>36</v>
      </c>
      <c r="H117" s="72" t="s">
        <v>124</v>
      </c>
      <c r="I117" s="74">
        <v>0.12</v>
      </c>
      <c r="J117" s="184">
        <v>399</v>
      </c>
      <c r="K117" s="79" t="str">
        <f>HYPERLINK("https://amzn.to/2YC6MST","link*")</f>
        <v>link*</v>
      </c>
      <c r="L117" s="79" t="str">
        <f>HYPERLINK("https://www.bhphotovideo.com/c/product/1478738-REG/samyang_af_45mm_f_1_8_fe.html/BI/19619/KBID/12129/DFF/d10-v21-t1-x964329/SID/EZ","link*")</f>
        <v>link*</v>
      </c>
      <c r="M117" s="113" t="s">
        <v>51</v>
      </c>
      <c r="N117" s="79"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117" s="84">
        <v>45</v>
      </c>
      <c r="P117" s="70" t="s">
        <v>27</v>
      </c>
      <c r="Q117" s="74">
        <v>9</v>
      </c>
      <c r="R117" s="112">
        <v>43623</v>
      </c>
      <c r="S117" s="74" t="s">
        <v>38</v>
      </c>
      <c r="T117" s="88">
        <v>43647</v>
      </c>
    </row>
    <row r="118" spans="1:21" ht="13" hidden="1">
      <c r="A118" s="58" t="s">
        <v>161</v>
      </c>
      <c r="B118" s="60">
        <v>215</v>
      </c>
      <c r="C118" s="67">
        <v>45</v>
      </c>
      <c r="D118" s="64">
        <v>2.8</v>
      </c>
      <c r="E118" s="194">
        <v>64</v>
      </c>
      <c r="F118" s="195">
        <v>46</v>
      </c>
      <c r="G118" s="74" t="s">
        <v>36</v>
      </c>
      <c r="H118" s="72" t="s">
        <v>147</v>
      </c>
      <c r="I118" s="201">
        <v>0.25</v>
      </c>
      <c r="J118" s="76">
        <v>549</v>
      </c>
      <c r="K118" s="79" t="str">
        <f>HYPERLINK("https://amzn.to/2SYEvAX","link*")</f>
        <v>link*</v>
      </c>
      <c r="L118" s="79" t="str">
        <f>HYPERLINK("https://www.bhphotovideo.com/c/product/1492966-REG/sigma_360965_45mm_f_2_8_dg_dn.html/BI/19619/KBID/12129/DFF/d10-v21-t1-x976020/SID/EZ","link*")</f>
        <v>link*</v>
      </c>
      <c r="M118" s="113" t="s">
        <v>51</v>
      </c>
      <c r="N118" s="79"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O118" s="84">
        <v>24</v>
      </c>
      <c r="P118" s="70" t="s">
        <v>27</v>
      </c>
      <c r="Q118" s="74">
        <v>7</v>
      </c>
      <c r="R118" s="112">
        <v>43654</v>
      </c>
      <c r="S118" s="74" t="s">
        <v>47</v>
      </c>
      <c r="T118" s="88">
        <v>43647</v>
      </c>
      <c r="U118" s="77" t="s">
        <v>162</v>
      </c>
    </row>
    <row r="119" spans="1:21" ht="13" hidden="1">
      <c r="A119" s="126" t="str">
        <f>HYPERLINK("https://phillipreeve.net/blog/review-voigtlander-50mm-1-2-nokton-e/","Voigtlander 50mm F1.2 Nokton")</f>
        <v>Voigtlander 50mm F1.2 Nokton</v>
      </c>
      <c r="B119" s="60">
        <v>440</v>
      </c>
      <c r="C119" s="67">
        <v>50</v>
      </c>
      <c r="D119" s="304">
        <v>1.2</v>
      </c>
      <c r="E119" s="194">
        <v>70</v>
      </c>
      <c r="F119" s="195">
        <v>58</v>
      </c>
      <c r="G119" s="74" t="s">
        <v>25</v>
      </c>
      <c r="H119" s="72" t="s">
        <v>71</v>
      </c>
      <c r="I119" s="125"/>
      <c r="J119" s="76">
        <v>1099</v>
      </c>
      <c r="K119" s="79" t="str">
        <f>HYPERLINK("https://amzn.to/2OAfE7N","link*")</f>
        <v>link*</v>
      </c>
      <c r="L119" s="79" t="str">
        <f>HYPERLINK("https://www.bhphotovideo.com/c/product/1433349-REG/voigtlander_ba348a_nokton_50mm_f_1_2_aspherical.html/BI/19619/KBID/12129/DFF/d10-v21-t1-x915623/SID/EZ","link*")</f>
        <v>link*</v>
      </c>
      <c r="M119" s="113" t="s">
        <v>51</v>
      </c>
      <c r="N119" s="79" t="e">
        <f>HYPERLINK("http://rover.ebay.com/rover/1/711-53200-19255-0/1?icep_ff3=9&amp;pub=5575076376&amp;toolid=10001&amp;campid=5338164340&amp;customid=&amp;icep_uq=sony+50+1.2&amp;icep_sellerId=&amp;icep_ex_kw=&amp;icep_sortBy=12&amp;icep_catId=3323&amp;icep_minPrice=&amp;icep_maxPrice=&amp;ipn=psmain&amp;icep_vectorid=22946"&amp;"6&amp;kwid=902099&amp;mtid=824&amp;kw=lg","link*")</f>
        <v>#VALUE!</v>
      </c>
      <c r="O119" s="84">
        <v>45</v>
      </c>
      <c r="P119" s="70" t="s">
        <v>27</v>
      </c>
      <c r="Q119" s="74">
        <v>12</v>
      </c>
      <c r="R119" s="112">
        <v>43624</v>
      </c>
      <c r="S119" s="74" t="s">
        <v>29</v>
      </c>
      <c r="T119" s="88">
        <v>43556</v>
      </c>
    </row>
    <row r="120" spans="1:21" ht="13" hidden="1">
      <c r="A120" s="58" t="s">
        <v>163</v>
      </c>
      <c r="B120" s="60">
        <v>778</v>
      </c>
      <c r="C120" s="67">
        <v>50</v>
      </c>
      <c r="D120" s="64">
        <v>1.4</v>
      </c>
      <c r="E120" s="194">
        <v>84</v>
      </c>
      <c r="F120" s="195">
        <v>108</v>
      </c>
      <c r="G120" s="74" t="s">
        <v>36</v>
      </c>
      <c r="H120" s="72" t="s">
        <v>64</v>
      </c>
      <c r="I120" s="74">
        <v>0.15</v>
      </c>
      <c r="J120" s="76">
        <v>1499</v>
      </c>
      <c r="K120" s="79" t="str">
        <f>HYPERLINK("https://amzn.to/2K88EL7","link*")</f>
        <v>link*</v>
      </c>
      <c r="L120" s="113" t="s">
        <v>51</v>
      </c>
      <c r="M120" s="113" t="s">
        <v>51</v>
      </c>
      <c r="N120" s="79"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120" s="84">
        <v>45</v>
      </c>
      <c r="P120" s="70" t="s">
        <v>27</v>
      </c>
      <c r="Q120" s="74">
        <v>11</v>
      </c>
      <c r="R120" s="112">
        <v>43720</v>
      </c>
      <c r="S120" s="74" t="s">
        <v>41</v>
      </c>
      <c r="T120" s="88">
        <v>42583</v>
      </c>
    </row>
    <row r="121" spans="1:21" ht="13" hidden="1">
      <c r="A121" s="58" t="s">
        <v>164</v>
      </c>
      <c r="B121" s="60">
        <v>815</v>
      </c>
      <c r="C121" s="67">
        <v>50</v>
      </c>
      <c r="D121" s="64">
        <v>1.4</v>
      </c>
      <c r="E121" s="194">
        <v>85</v>
      </c>
      <c r="F121" s="195">
        <v>100</v>
      </c>
      <c r="G121" s="74" t="s">
        <v>36</v>
      </c>
      <c r="H121" s="72" t="s">
        <v>80</v>
      </c>
      <c r="I121" s="74">
        <v>0.18</v>
      </c>
      <c r="J121" s="76">
        <v>949</v>
      </c>
      <c r="K121" s="79" t="str">
        <f>HYPERLINK("https://amzn.to/2K4JmyT","link*")</f>
        <v>link*</v>
      </c>
      <c r="L121" s="79" t="str">
        <f>HYPERLINK("https://www.bhphotovideo.com/c/product/1393493-REG/sigma_50mm_f_1_4_dg_hsm.html/BI/19619/KBID/12129/kw/SI5014SO/DFF/d10-v2-t1-xSI5014SO","link*")</f>
        <v>link*</v>
      </c>
      <c r="M121" s="79" t="str">
        <f>HYPERLINK("https://amzn.to/2Wpdoz5","link*")</f>
        <v>link*</v>
      </c>
      <c r="N121" s="79" t="e">
        <f>HYPERLINK("http://rover.ebay.com/rover/1/711-53200-19255-0/1?icep_ff3=9&amp;pub=5575076376&amp;toolid=10001&amp;campid=5338164340&amp;customid=&amp;icep_uq=sony+50+1.4+za+-ssm&amp;icep_sellerId=&amp;icep_ex_kw=&amp;icep_sortBy=12&amp;icep_catId=3323&amp;icep_minPrice=&amp;icep_maxPrice=&amp;ipn=psmain&amp;icep_vector"&amp;"id=229466&amp;kwid=902099&amp;mtid=824&amp;kw=lg","link*")</f>
        <v>#VALUE!</v>
      </c>
      <c r="O121" s="84">
        <v>40</v>
      </c>
      <c r="P121" s="70" t="s">
        <v>27</v>
      </c>
      <c r="Q121" s="74">
        <v>9</v>
      </c>
      <c r="R121" s="112">
        <v>43690</v>
      </c>
      <c r="S121" s="74" t="s">
        <v>47</v>
      </c>
      <c r="T121" s="88">
        <v>43221</v>
      </c>
      <c r="U121" s="77" t="s">
        <v>48</v>
      </c>
    </row>
    <row r="122" spans="1:21" ht="13" hidden="1">
      <c r="A122" s="58" t="s">
        <v>165</v>
      </c>
      <c r="B122" s="60">
        <v>585</v>
      </c>
      <c r="C122" s="67">
        <v>50</v>
      </c>
      <c r="D122" s="64">
        <v>1.4</v>
      </c>
      <c r="E122" s="194">
        <v>74</v>
      </c>
      <c r="F122" s="195">
        <v>98</v>
      </c>
      <c r="G122" s="74" t="s">
        <v>36</v>
      </c>
      <c r="H122" s="72" t="s">
        <v>73</v>
      </c>
      <c r="I122" s="74">
        <v>0.15</v>
      </c>
      <c r="J122" s="76">
        <v>699</v>
      </c>
      <c r="K122" s="79" t="str">
        <f>HYPERLINK("https://amzn.to/2SY1Pyr","link*")</f>
        <v>link*</v>
      </c>
      <c r="L122" s="79" t="str">
        <f>HYPERLINK("https://www.bhphotovideo.com/c/product/1352862-REG/samyang_syio50af_e_50mm_f_1_4_auto_focus.html/BI/19619/KBID/12129/DFF/d10-v21-t1-x837927/SID/EZ","link*")</f>
        <v>link*</v>
      </c>
      <c r="M122" s="113" t="s">
        <v>51</v>
      </c>
      <c r="N122" s="79"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122" s="84">
        <v>45</v>
      </c>
      <c r="P122" s="70" t="s">
        <v>27</v>
      </c>
      <c r="Q122" s="74">
        <v>9</v>
      </c>
      <c r="R122" s="112">
        <v>43686</v>
      </c>
      <c r="S122" s="74" t="s">
        <v>38</v>
      </c>
      <c r="T122" s="88">
        <v>42583</v>
      </c>
    </row>
    <row r="123" spans="1:21" ht="13" hidden="1">
      <c r="A123" s="126" t="str">
        <f>HYPERLINK("https://phillipreeve.net/blog/review-sony-fe-1-850/","Sony 50mm F1.8")</f>
        <v>Sony 50mm F1.8</v>
      </c>
      <c r="B123" s="60">
        <v>186</v>
      </c>
      <c r="C123" s="67">
        <v>50</v>
      </c>
      <c r="D123" s="64">
        <v>1.8</v>
      </c>
      <c r="E123" s="194">
        <v>69</v>
      </c>
      <c r="F123" s="195">
        <v>60</v>
      </c>
      <c r="G123" s="74" t="s">
        <v>36</v>
      </c>
      <c r="H123" s="72" t="s">
        <v>124</v>
      </c>
      <c r="I123" s="74">
        <v>0.14000000000000001</v>
      </c>
      <c r="J123" s="156">
        <v>249</v>
      </c>
      <c r="K123" s="79" t="str">
        <f>HYPERLINK("http://amzn.to/2v2F5Se","link*")</f>
        <v>link*</v>
      </c>
      <c r="L123" s="79" t="str">
        <f>HYPERLINK("https://www.bhphotovideo.com/c/product/1242613-REG/sony_sel50f18f_fe_50mm_f_1_8_lens.html/BI/19619/KBID/12129/kw/SO5018F/DFF/d10-v2-t1-xSO5018F","link*")</f>
        <v>link*</v>
      </c>
      <c r="M123" s="79" t="str">
        <f>HYPERLINK("http://amzn.to/2wyHB25","link*")</f>
        <v>link*</v>
      </c>
      <c r="N123"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123" s="84">
        <v>45</v>
      </c>
      <c r="P123" s="70" t="s">
        <v>27</v>
      </c>
      <c r="Q123" s="74">
        <v>7</v>
      </c>
      <c r="R123" s="112">
        <v>43591</v>
      </c>
      <c r="S123" s="74" t="s">
        <v>41</v>
      </c>
      <c r="T123" s="88">
        <v>42430</v>
      </c>
    </row>
    <row r="124" spans="1:21" ht="13">
      <c r="A124" s="126" t="str">
        <f>HYPERLINK("https://phillipreeve.net/blog/review-zeiss-loxia-planar-250-t/","Zeiss Loxia 50mm F2")</f>
        <v>Zeiss Loxia 50mm F2</v>
      </c>
      <c r="B124" s="60">
        <v>320</v>
      </c>
      <c r="C124" s="67">
        <v>50</v>
      </c>
      <c r="D124" s="64">
        <v>2</v>
      </c>
      <c r="E124" s="194">
        <v>62</v>
      </c>
      <c r="F124" s="195">
        <v>60</v>
      </c>
      <c r="G124" s="74" t="s">
        <v>25</v>
      </c>
      <c r="H124" s="72" t="s">
        <v>131</v>
      </c>
      <c r="I124" s="74">
        <v>0.15</v>
      </c>
      <c r="J124" s="76">
        <v>949</v>
      </c>
      <c r="K124" s="79" t="str">
        <f>HYPERLINK("http://amzn.to/2faVsIu","link*")</f>
        <v>link*</v>
      </c>
      <c r="L124" s="79" t="str">
        <f>HYPERLINK("https://www.bhphotovideo.com/c/product/1080387-REG/zeiss_2103_748_loxia_50mm_f_2_planar.html/BI/19619/KBID/12129/kw/ZE502LFE/DFF/d10-v2-t1-xZE502LFE","link*")</f>
        <v>link*</v>
      </c>
      <c r="M124" s="79" t="str">
        <f>HYPERLINK("http://amzn.to/2wyJAU4","link*")</f>
        <v>link*</v>
      </c>
      <c r="N124" s="79"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O124" s="84">
        <v>45</v>
      </c>
      <c r="P124" s="70" t="s">
        <v>27</v>
      </c>
      <c r="Q124" s="74">
        <v>10</v>
      </c>
      <c r="R124" s="112">
        <v>43561</v>
      </c>
      <c r="S124" s="74" t="s">
        <v>87</v>
      </c>
      <c r="T124" s="88">
        <v>41913</v>
      </c>
      <c r="U124" s="77" t="s">
        <v>166</v>
      </c>
    </row>
    <row r="125" spans="1:21" ht="13" hidden="1">
      <c r="A125" s="126" t="str">
        <f>HYPERLINK("https://phillipreeve.net/blog/rolling-review-sony-fe-2-850-macro/","Sony 50mm F/2.8 Macro")</f>
        <v>Sony 50mm F/2.8 Macro</v>
      </c>
      <c r="B125" s="60">
        <v>236</v>
      </c>
      <c r="C125" s="67">
        <v>50</v>
      </c>
      <c r="D125" s="64">
        <v>1.8</v>
      </c>
      <c r="E125" s="194">
        <v>72</v>
      </c>
      <c r="F125" s="195">
        <v>71</v>
      </c>
      <c r="G125" s="74" t="s">
        <v>36</v>
      </c>
      <c r="H125" s="72" t="s">
        <v>147</v>
      </c>
      <c r="I125" s="263">
        <v>1</v>
      </c>
      <c r="J125" s="184">
        <v>499</v>
      </c>
      <c r="K125" s="79" t="str">
        <f>HYPERLINK("http://amzn.to/2v2g0qz","link*")</f>
        <v>link*</v>
      </c>
      <c r="L125" s="79" t="str">
        <f>HYPERLINK("https://www.bhphotovideo.com/c/product/1277527-REG/sony_sel50m28_fe_50mm_f_2_8_macro.html/BI/19619/KBID/12129/kw/SO5028FF/DFF/d10-v2-t1-xSO5028FF","link*")</f>
        <v>link*</v>
      </c>
      <c r="M125" s="79" t="str">
        <f>HYPERLINK("http://amzn.to/2vbknRN","link*")</f>
        <v>link*</v>
      </c>
      <c r="N125" s="79"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O125" s="84">
        <v>16</v>
      </c>
      <c r="P125" s="70" t="s">
        <v>27</v>
      </c>
      <c r="Q125" s="74">
        <v>7</v>
      </c>
      <c r="R125" s="112">
        <v>43654</v>
      </c>
      <c r="S125" s="74" t="s">
        <v>41</v>
      </c>
      <c r="T125" s="88">
        <v>42614</v>
      </c>
    </row>
    <row r="126" spans="1:21" ht="13" hidden="1">
      <c r="A126" s="126" t="str">
        <f>HYPERLINK("https://phillipreeve.net/blog/sony-fe-1-855-za-sonnar-t-review/","Sony ZA 55mm F1.8 Sonnar")</f>
        <v>Sony ZA 55mm F1.8 Sonnar</v>
      </c>
      <c r="B126" s="60">
        <v>281</v>
      </c>
      <c r="C126" s="67">
        <v>55</v>
      </c>
      <c r="D126" s="64">
        <v>1.8</v>
      </c>
      <c r="E126" s="194">
        <v>64</v>
      </c>
      <c r="F126" s="195">
        <v>71</v>
      </c>
      <c r="G126" s="74" t="s">
        <v>36</v>
      </c>
      <c r="H126" s="72" t="s">
        <v>124</v>
      </c>
      <c r="I126" s="74">
        <v>0.14000000000000001</v>
      </c>
      <c r="J126" s="76">
        <v>999</v>
      </c>
      <c r="K126" s="79" t="str">
        <f>HYPERLINK("https://amzn.to/2ywdgEk","link*")</f>
        <v>link*</v>
      </c>
      <c r="L126" s="79" t="str">
        <f>HYPERLINK("https://www.bhphotovideo.com/c/product/1008124-REG/sony_sel55f18z_sonnar_t_fe_55mm.html/BI/19619/KBID/12129/DFF/d10-v21-t1-x466841/SID/EZ","link*")</f>
        <v>link*</v>
      </c>
      <c r="M126" s="113" t="s">
        <v>51</v>
      </c>
      <c r="N126" s="79"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126" s="84">
        <v>50</v>
      </c>
      <c r="P126" s="70" t="s">
        <v>27</v>
      </c>
      <c r="Q126" s="74">
        <v>9</v>
      </c>
      <c r="R126" s="112">
        <v>43592</v>
      </c>
      <c r="S126" s="74" t="s">
        <v>41</v>
      </c>
      <c r="T126" s="88">
        <v>41548</v>
      </c>
    </row>
    <row r="127" spans="1:21" ht="13" hidden="1">
      <c r="A127" s="126" t="str">
        <f>HYPERLINK("https://phillipreeve.net/blog/voigtlander-65-f2-apo-macro-review/","Voigtlander Macro 65mm F2 Apo Lanthar")</f>
        <v>Voigtlander Macro 65mm F2 Apo Lanthar</v>
      </c>
      <c r="B127" s="60">
        <v>635</v>
      </c>
      <c r="C127" s="67">
        <v>65</v>
      </c>
      <c r="D127" s="64">
        <v>2</v>
      </c>
      <c r="E127" s="194">
        <v>78</v>
      </c>
      <c r="F127" s="195">
        <v>91</v>
      </c>
      <c r="G127" s="74" t="s">
        <v>25</v>
      </c>
      <c r="H127" s="72" t="s">
        <v>73</v>
      </c>
      <c r="I127" s="320">
        <v>0.5</v>
      </c>
      <c r="J127" s="76">
        <v>999</v>
      </c>
      <c r="K127" s="79" t="str">
        <f>HYPERLINK("https://amzn.to/2LU48SI","link*")</f>
        <v>link*</v>
      </c>
      <c r="L127" s="79" t="str">
        <f>HYPERLINK("https://www.bhphotovideo.com/c/product/1350400-REG/voigtlander_macro_apo_lanthar_65mm_f2.html/BI/19619/KBID/12129/DFF/d10-v21-t1-x835677/SID/EZ","link*")</f>
        <v>link*</v>
      </c>
      <c r="M127" s="113" t="s">
        <v>51</v>
      </c>
      <c r="N127" s="79"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O127" s="84">
        <v>31</v>
      </c>
      <c r="P127" s="70" t="s">
        <v>27</v>
      </c>
      <c r="Q127" s="74">
        <v>10</v>
      </c>
      <c r="R127" s="112">
        <v>43687</v>
      </c>
      <c r="S127" s="74" t="s">
        <v>29</v>
      </c>
      <c r="T127" s="290">
        <v>42917</v>
      </c>
    </row>
    <row r="128" spans="1:21" ht="13" hidden="1">
      <c r="A128" s="58" t="s">
        <v>167</v>
      </c>
      <c r="B128" s="60">
        <v>562</v>
      </c>
      <c r="C128" s="67">
        <v>70</v>
      </c>
      <c r="D128" s="64">
        <v>2.8</v>
      </c>
      <c r="E128" s="194">
        <v>71</v>
      </c>
      <c r="F128" s="195">
        <v>106</v>
      </c>
      <c r="G128" s="74" t="s">
        <v>36</v>
      </c>
      <c r="H128" s="72" t="s">
        <v>124</v>
      </c>
      <c r="I128" s="263">
        <v>1</v>
      </c>
      <c r="J128" s="241">
        <v>569</v>
      </c>
      <c r="K128" s="79" t="str">
        <f>HYPERLINK("https://amzn.to/2YGO9te","link*")</f>
        <v>link*</v>
      </c>
      <c r="L128" s="79" t="str">
        <f>HYPERLINK("https://www.bhphotovideo.com/c/product/1393483-REG/sigma_70mm_f_2_8_dg_macro.html/BI/19619/KBID/12129/DFF/d10-v21-t1-x895111/SID/EZ","link*")</f>
        <v>link*</v>
      </c>
      <c r="M128" s="113" t="s">
        <v>51</v>
      </c>
      <c r="N128" s="79" t="e">
        <f>HYPERLINK("http://rover.ebay.com/rover/1/711-53200-19255-0/1?icep_ff3=9&amp;pub=5575076376&amp;toolid=10001&amp;campid=5338164340&amp;customid=&amp;icep_uq=sigma+70+2.8+macro+sony&amp;icep_sellerId=&amp;icep_ex_kw=&amp;icep_sortBy=12&amp;icep_catId=3323&amp;icep_minPrice=&amp;icep_maxPrice=&amp;ipn=psmain&amp;icep_ve"&amp;"ctorid=229466&amp;kwid=902099&amp;mtid=824&amp;kw=lg","link*")</f>
        <v>#VALUE!</v>
      </c>
      <c r="O128" s="84">
        <v>26</v>
      </c>
      <c r="P128" s="70" t="s">
        <v>27</v>
      </c>
      <c r="Q128" s="74">
        <v>9</v>
      </c>
      <c r="R128" s="112">
        <v>43751</v>
      </c>
      <c r="S128" s="74" t="s">
        <v>47</v>
      </c>
      <c r="T128" s="88">
        <v>43221</v>
      </c>
      <c r="U128" s="77" t="s">
        <v>48</v>
      </c>
    </row>
    <row r="129" spans="1:21" ht="13" hidden="1">
      <c r="A129" s="58" t="s">
        <v>168</v>
      </c>
      <c r="B129" s="60">
        <v>1480</v>
      </c>
      <c r="C129" s="67">
        <v>70</v>
      </c>
      <c r="D129" s="64">
        <v>2.8</v>
      </c>
      <c r="E129" s="194">
        <v>88</v>
      </c>
      <c r="F129" s="195">
        <v>200</v>
      </c>
      <c r="G129" s="74" t="s">
        <v>36</v>
      </c>
      <c r="H129" s="72" t="s">
        <v>80</v>
      </c>
      <c r="I129" s="239">
        <v>0.25</v>
      </c>
      <c r="J129" s="76">
        <v>2599</v>
      </c>
      <c r="K129" s="79" t="str">
        <f>HYPERLINK("https://amzn.to/2KbaJGn","link*")</f>
        <v>link*</v>
      </c>
      <c r="L129" s="79" t="str">
        <f>HYPERLINK("https://www.bhphotovideo.com/c/product/1222776-REG/sony_sel70200gm_fe_70_200mm_f_2_8_gm.html/BI/19619/KBID/12129/DFF/d10-v21-t1-x746807/SID/EZ","link*")</f>
        <v>link*</v>
      </c>
      <c r="M129" s="113" t="s">
        <v>51</v>
      </c>
      <c r="N129"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129" s="84">
        <v>96</v>
      </c>
      <c r="P129" s="134" t="s">
        <v>66</v>
      </c>
      <c r="Q129" s="74">
        <v>11</v>
      </c>
      <c r="R129" s="115" t="s">
        <v>169</v>
      </c>
      <c r="S129" s="74" t="s">
        <v>41</v>
      </c>
      <c r="T129" s="88">
        <v>42401</v>
      </c>
    </row>
    <row r="130" spans="1:21" ht="13" hidden="1">
      <c r="A130" s="58" t="s">
        <v>170</v>
      </c>
      <c r="B130" s="60">
        <v>854</v>
      </c>
      <c r="C130" s="67">
        <v>70</v>
      </c>
      <c r="D130" s="64" t="s">
        <v>171</v>
      </c>
      <c r="E130" s="194">
        <v>84</v>
      </c>
      <c r="F130" s="195">
        <v>144</v>
      </c>
      <c r="G130" s="74" t="s">
        <v>36</v>
      </c>
      <c r="H130" s="72" t="s">
        <v>64</v>
      </c>
      <c r="I130" s="201">
        <v>0.31</v>
      </c>
      <c r="J130" s="76">
        <v>1198</v>
      </c>
      <c r="K130" s="79" t="str">
        <f>HYPERLINK("https://amzn.to/2SVN1Ao","link*")</f>
        <v>link*</v>
      </c>
      <c r="L130" s="79" t="str">
        <f>HYPERLINK("https://www.bhphotovideo.com/c/product/1242614-REG/sony_sel70300g_fe_70_300mm_f_4_5_5_6_g.html/BI/19619/KBID/12129/DFF/d10-v21-t1-x722726/SID/EZ","link*")</f>
        <v>link*</v>
      </c>
      <c r="M130" s="113" t="s">
        <v>51</v>
      </c>
      <c r="N130"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130" s="84">
        <v>90</v>
      </c>
      <c r="P130" s="134" t="s">
        <v>66</v>
      </c>
      <c r="Q130" s="74">
        <v>9</v>
      </c>
      <c r="R130" s="115" t="s">
        <v>72</v>
      </c>
      <c r="S130" s="74" t="s">
        <v>41</v>
      </c>
      <c r="T130" s="88">
        <v>42430</v>
      </c>
    </row>
    <row r="131" spans="1:21" ht="13" hidden="1">
      <c r="A131" s="126" t="str">
        <f>HYPERLINK("https://phillipreeve.net/blog/review-sony-fe-470-200-g-oss/https://phillipreeve.net/blog/review-sony-fe-470-200-g-oss/","Sony G 4/70-200 OSS")</f>
        <v>Sony G 4/70-200 OSS</v>
      </c>
      <c r="B131" s="60">
        <v>840</v>
      </c>
      <c r="C131" s="67">
        <v>70</v>
      </c>
      <c r="D131" s="64">
        <v>4</v>
      </c>
      <c r="E131" s="194">
        <v>80</v>
      </c>
      <c r="F131" s="195">
        <v>175</v>
      </c>
      <c r="G131" s="74" t="s">
        <v>36</v>
      </c>
      <c r="H131" s="72" t="s">
        <v>64</v>
      </c>
      <c r="I131" s="74">
        <v>0.18</v>
      </c>
      <c r="J131" s="76">
        <v>1498</v>
      </c>
      <c r="K131" s="79" t="str">
        <f>HYPERLINK("http://amzn.to/2fbeX3x","link*")</f>
        <v>link*</v>
      </c>
      <c r="L131" s="79" t="str">
        <f>HYPERLINK("https://www.bhphotovideo.com/c/product/1380865-REG/sony_fe_70_200mm_f_4_g.html/BI/19619/KBID/12129/kw/SO702004F/DFF/d10-v2-t1-xSO702004F","link*")</f>
        <v>link*</v>
      </c>
      <c r="M131" s="79" t="str">
        <f>HYPERLINK("http://amzn.to/2vbFQKj","link*")</f>
        <v>link*</v>
      </c>
      <c r="N131" s="79"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131" s="84">
        <v>100</v>
      </c>
      <c r="P131" s="134" t="s">
        <v>66</v>
      </c>
      <c r="Q131" s="74">
        <v>9</v>
      </c>
      <c r="R131" s="115" t="s">
        <v>173</v>
      </c>
      <c r="S131" s="74" t="s">
        <v>41</v>
      </c>
      <c r="T131" s="88">
        <v>41548</v>
      </c>
    </row>
    <row r="132" spans="1:21" ht="13" hidden="1">
      <c r="A132" s="126" t="str">
        <f>HYPERLINK("https://phillipreeve.net/blog/review-sony-fe-85mm-1-4-gm/","Sony GM 1.4/85")</f>
        <v>Sony GM 1.4/85</v>
      </c>
      <c r="B132" s="60">
        <v>854</v>
      </c>
      <c r="C132" s="67">
        <v>85</v>
      </c>
      <c r="D132" s="64">
        <v>1.4</v>
      </c>
      <c r="E132" s="194">
        <v>84</v>
      </c>
      <c r="F132" s="195">
        <v>108</v>
      </c>
      <c r="G132" s="74" t="s">
        <v>36</v>
      </c>
      <c r="H132" s="72" t="s">
        <v>80</v>
      </c>
      <c r="I132" s="74">
        <v>0.12</v>
      </c>
      <c r="J132" s="76">
        <v>1799</v>
      </c>
      <c r="K132" s="79" t="str">
        <f>HYPERLINK("https://amzn.to/2SZeKAh","link*")</f>
        <v>link*</v>
      </c>
      <c r="L132" s="79" t="str">
        <f>HYPERLINK("https://www.bhphotovideo.com/c/product/1222775-REG/sony_sel85f14gm_fe_85mm_f_1_4_gm.html/BI/19619/KBID/12129/DFF/d10-v21-t1-x707644/SID/EZ","link*")</f>
        <v>link*</v>
      </c>
      <c r="M132" s="113" t="s">
        <v>51</v>
      </c>
      <c r="N132" s="7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132" s="84">
        <v>80</v>
      </c>
      <c r="P132" s="70" t="s">
        <v>27</v>
      </c>
      <c r="Q132" s="74">
        <v>11</v>
      </c>
      <c r="R132" s="112">
        <v>43688</v>
      </c>
      <c r="S132" s="74" t="s">
        <v>41</v>
      </c>
      <c r="T132" s="88">
        <v>42401</v>
      </c>
    </row>
    <row r="133" spans="1:21" ht="13" hidden="1">
      <c r="A133" s="58" t="s">
        <v>174</v>
      </c>
      <c r="B133" s="60">
        <v>1130</v>
      </c>
      <c r="C133" s="67">
        <v>85</v>
      </c>
      <c r="D133" s="64">
        <v>1.4</v>
      </c>
      <c r="E133" s="194">
        <v>95</v>
      </c>
      <c r="F133" s="195">
        <v>152</v>
      </c>
      <c r="G133" s="74" t="s">
        <v>36</v>
      </c>
      <c r="H133" s="269" t="s">
        <v>175</v>
      </c>
      <c r="I133" s="74">
        <v>0.12</v>
      </c>
      <c r="J133" s="76">
        <v>1199</v>
      </c>
      <c r="K133" s="79" t="str">
        <f>HYPERLINK("https://amzn.to/2MBd68k","link*")</f>
        <v>link*</v>
      </c>
      <c r="L133" s="79" t="str">
        <f>HYPERLINK("https://www.bhphotovideo.com/c/product/1393494-REG/sigma_85mm_f_1_4_dg_hsm.html/BI/19619/KBID/12129/kw/SI8514SO/DFF/d10-v2-t1-xSI8514SO","link*")</f>
        <v>link*</v>
      </c>
      <c r="M133" s="79" t="str">
        <f>HYPERLINK("https://amzn.to/2Wto6JH","link*")</f>
        <v>link*</v>
      </c>
      <c r="N133" s="79"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O133" s="84">
        <v>85</v>
      </c>
      <c r="P133" s="70" t="s">
        <v>27</v>
      </c>
      <c r="Q133" s="74">
        <v>9</v>
      </c>
      <c r="R133" s="112">
        <v>43724</v>
      </c>
      <c r="S133" s="74" t="s">
        <v>47</v>
      </c>
      <c r="T133" s="88">
        <v>43221</v>
      </c>
      <c r="U133" s="77" t="s">
        <v>48</v>
      </c>
    </row>
    <row r="134" spans="1:21" ht="13" hidden="1">
      <c r="A134" s="58" t="s">
        <v>176</v>
      </c>
      <c r="B134" s="60">
        <v>568</v>
      </c>
      <c r="C134" s="67">
        <v>85</v>
      </c>
      <c r="D134" s="64">
        <v>1.4</v>
      </c>
      <c r="E134" s="194">
        <v>88</v>
      </c>
      <c r="F134" s="195">
        <v>100</v>
      </c>
      <c r="G134" s="74" t="s">
        <v>36</v>
      </c>
      <c r="H134" s="72" t="s">
        <v>80</v>
      </c>
      <c r="I134" s="74">
        <v>0.11</v>
      </c>
      <c r="J134" s="156">
        <v>699</v>
      </c>
      <c r="K134" s="79" t="str">
        <f>HYPERLINK("https://amzn.to/2T0yJ1A","link*")</f>
        <v>link*</v>
      </c>
      <c r="L134" s="79" t="str">
        <f>HYPERLINK("https://www.bhphotovideo.com/c/product/1470654-REG/samyang_syio85af_e_af_85mm_f_1_4_lens.html/BI/19619/KBID/12129/DFF/d10-v21-t1-x955078/SID/EZ","link*")</f>
        <v>link*</v>
      </c>
      <c r="M134" s="113" t="s">
        <v>51</v>
      </c>
      <c r="N134"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134" s="84">
        <v>90</v>
      </c>
      <c r="P134" s="70" t="s">
        <v>27</v>
      </c>
      <c r="Q134" s="74">
        <v>9</v>
      </c>
      <c r="R134" s="112">
        <v>43688</v>
      </c>
      <c r="S134" s="74" t="s">
        <v>38</v>
      </c>
      <c r="T134" s="88">
        <v>43586</v>
      </c>
    </row>
    <row r="135" spans="1:21" ht="13" hidden="1">
      <c r="A135" s="126" t="str">
        <f>HYPERLINK("https://phillipreeve.net/blog/review-sony-fe-85-mm-1-8/","Sony FE 85mm f/1.8")</f>
        <v>Sony FE 85mm f/1.8</v>
      </c>
      <c r="B135" s="60">
        <v>371</v>
      </c>
      <c r="C135" s="67">
        <v>85</v>
      </c>
      <c r="D135" s="64">
        <v>1.8</v>
      </c>
      <c r="E135" s="194">
        <v>77</v>
      </c>
      <c r="F135" s="195">
        <v>82</v>
      </c>
      <c r="G135" s="74" t="s">
        <v>36</v>
      </c>
      <c r="H135" s="72" t="s">
        <v>73</v>
      </c>
      <c r="I135" s="74">
        <v>0.13</v>
      </c>
      <c r="J135" s="156">
        <v>599</v>
      </c>
      <c r="K135" s="79" t="str">
        <f>HYPERLINK("https://amzn.to/2YB4RxU","link*")</f>
        <v>link*</v>
      </c>
      <c r="L135" s="79" t="str">
        <f t="shared" ref="L135:L136" si="2">HYPERLINK("https://www.bhphotovideo.com/c/product/1140833-REG/zeiss_2103_751_85mm_f_1_8_batis_short.html/BI/19619/KBID/12129/DFF/d10-v21-t1-x627139/SID/EZ","link*")</f>
        <v>link*</v>
      </c>
      <c r="M135" s="113" t="s">
        <v>51</v>
      </c>
      <c r="N135"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135" s="84">
        <v>80</v>
      </c>
      <c r="P135" s="70" t="s">
        <v>27</v>
      </c>
      <c r="Q135" s="74">
        <v>9</v>
      </c>
      <c r="R135" s="112">
        <v>43686</v>
      </c>
      <c r="S135" s="74" t="s">
        <v>41</v>
      </c>
      <c r="T135" s="88">
        <v>42767</v>
      </c>
    </row>
    <row r="136" spans="1:21" ht="13">
      <c r="A136" s="126" t="str">
        <f>HYPERLINK("https://phillipreeve.net/blog/zeiss-batis-sonnar-t-85mm-f1-8-a-review/","Zeiss Batis 1.8/85")</f>
        <v>Zeiss Batis 1.8/85</v>
      </c>
      <c r="B136" s="60">
        <v>475</v>
      </c>
      <c r="C136" s="67">
        <v>85</v>
      </c>
      <c r="D136" s="64">
        <v>1.8</v>
      </c>
      <c r="E136" s="194">
        <v>92</v>
      </c>
      <c r="F136" s="195">
        <v>81</v>
      </c>
      <c r="G136" s="74" t="s">
        <v>36</v>
      </c>
      <c r="H136" s="72" t="s">
        <v>73</v>
      </c>
      <c r="I136" s="74">
        <v>0.13</v>
      </c>
      <c r="J136" s="76">
        <v>1199</v>
      </c>
      <c r="K136" s="79" t="str">
        <f>HYPERLINK("https://amzn.to/2T8oWqt","link*")</f>
        <v>link*</v>
      </c>
      <c r="L136" s="79" t="str">
        <f t="shared" si="2"/>
        <v>link*</v>
      </c>
      <c r="M136" s="113" t="s">
        <v>51</v>
      </c>
      <c r="N136"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136" s="84">
        <v>80</v>
      </c>
      <c r="P136" s="134" t="s">
        <v>66</v>
      </c>
      <c r="Q136" s="74">
        <v>9</v>
      </c>
      <c r="R136" s="112">
        <v>43688</v>
      </c>
      <c r="S136" s="74" t="s">
        <v>87</v>
      </c>
      <c r="T136" s="88">
        <v>42125</v>
      </c>
    </row>
    <row r="137" spans="1:21" ht="13" hidden="1">
      <c r="A137" s="58" t="s">
        <v>197</v>
      </c>
      <c r="B137" s="60">
        <v>665</v>
      </c>
      <c r="C137" s="67">
        <v>85</v>
      </c>
      <c r="D137" s="64">
        <v>1.8</v>
      </c>
      <c r="E137" s="194">
        <v>79</v>
      </c>
      <c r="F137" s="195">
        <v>92</v>
      </c>
      <c r="G137" s="74" t="s">
        <v>25</v>
      </c>
      <c r="H137" s="72" t="s">
        <v>64</v>
      </c>
      <c r="I137" s="74">
        <v>0.13</v>
      </c>
      <c r="J137" s="76">
        <v>299</v>
      </c>
      <c r="K137" s="79" t="str">
        <f>HYPERLINK("https://amzn.to/2LVVOBV","link*")</f>
        <v>link*</v>
      </c>
      <c r="L137" s="79" t="str">
        <f>HYPERLINK("https://www.bhphotovideo.com/c/product/1469189-REG/viltrox_pfu_rbmh_85mm_f1_8_e_mount_85mm_f_1_8_for_sony.html/BI/19619/KBID/12129/DFF/d10-v21-t1-x954301/SID/EZ","link*")</f>
        <v>link*</v>
      </c>
      <c r="M137" s="113" t="s">
        <v>51</v>
      </c>
      <c r="N137" s="79"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O137" s="84">
        <v>80</v>
      </c>
      <c r="P137" s="70" t="s">
        <v>27</v>
      </c>
      <c r="Q137" s="74">
        <v>9</v>
      </c>
      <c r="R137" s="112">
        <v>43656</v>
      </c>
      <c r="S137" s="74" t="s">
        <v>106</v>
      </c>
      <c r="T137" s="612">
        <v>43586</v>
      </c>
      <c r="U137" s="77" t="s">
        <v>200</v>
      </c>
    </row>
    <row r="138" spans="1:21" ht="13" hidden="1">
      <c r="A138" s="58" t="s">
        <v>177</v>
      </c>
      <c r="B138" s="60">
        <v>636</v>
      </c>
      <c r="C138" s="67">
        <v>85</v>
      </c>
      <c r="D138" s="64">
        <v>1.8</v>
      </c>
      <c r="E138" s="194">
        <v>79</v>
      </c>
      <c r="F138" s="195">
        <v>92</v>
      </c>
      <c r="G138" s="74" t="s">
        <v>36</v>
      </c>
      <c r="H138" s="72" t="s">
        <v>64</v>
      </c>
      <c r="I138" s="74">
        <v>0.13</v>
      </c>
      <c r="J138" s="76">
        <v>379</v>
      </c>
      <c r="K138" s="79" t="str">
        <f>HYPERLINK("https://amzn.to/2SZfd5v","link*")</f>
        <v>link*</v>
      </c>
      <c r="L138" s="79" t="str">
        <f>HYPERLINK("https://www.bhphotovideo.com/c/product/1470585-REG/viltrox_pfu_rbmh_85mm_f1_8_stm_e_mount_85mm_f_1_8_lens_for.html/BI/19619/KBID/12129/DFF/d10-v21-t1-x955239/SID/EZ","link*")</f>
        <v>link*</v>
      </c>
      <c r="M138" s="113" t="s">
        <v>51</v>
      </c>
      <c r="N138"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138" s="84">
        <v>80</v>
      </c>
      <c r="P138" s="70" t="s">
        <v>27</v>
      </c>
      <c r="Q138" s="74">
        <v>9</v>
      </c>
      <c r="R138" s="112">
        <v>43656</v>
      </c>
      <c r="S138" s="74" t="s">
        <v>106</v>
      </c>
      <c r="T138" s="88">
        <v>43586</v>
      </c>
    </row>
    <row r="139" spans="1:21" ht="13">
      <c r="A139" s="126" t="str">
        <f>HYPERLINK("https://phillipreeve.net/blog/rolling-review-zeiss-loxia-85mm-2-4/","Zeiss Loxia 2.4/85")</f>
        <v>Zeiss Loxia 2.4/85</v>
      </c>
      <c r="B139" s="60">
        <v>594</v>
      </c>
      <c r="C139" s="67">
        <v>85</v>
      </c>
      <c r="D139" s="64">
        <v>2.4</v>
      </c>
      <c r="E139" s="194">
        <v>63</v>
      </c>
      <c r="F139" s="195">
        <v>95</v>
      </c>
      <c r="G139" s="74" t="s">
        <v>25</v>
      </c>
      <c r="H139" s="72" t="s">
        <v>131</v>
      </c>
      <c r="I139" s="74">
        <v>0.14000000000000001</v>
      </c>
      <c r="J139" s="76">
        <v>1399</v>
      </c>
      <c r="K139" s="79" t="str">
        <f>HYPERLINK("https://amzn.to/2SY4PLd","link*")</f>
        <v>link*</v>
      </c>
      <c r="L139" s="79" t="str">
        <f>HYPERLINK("https://www.bhphotovideo.com/c/product/1282150-REG/zeiss_2162_636_loxia_85mm_f_2_4_lens.html/BI/19619/KBID/12129/DFF/d10-v21-t1-x762761/SID/EZ","link*")</f>
        <v>link*</v>
      </c>
      <c r="M139" s="113" t="s">
        <v>51</v>
      </c>
      <c r="N139" s="79"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O139" s="84">
        <v>80</v>
      </c>
      <c r="P139" s="70" t="s">
        <v>27</v>
      </c>
      <c r="Q139" s="74">
        <v>10</v>
      </c>
      <c r="R139" s="112">
        <v>43653</v>
      </c>
      <c r="S139" s="74" t="s">
        <v>87</v>
      </c>
      <c r="T139" s="88">
        <v>42644</v>
      </c>
    </row>
    <row r="140" spans="1:21" ht="13" hidden="1">
      <c r="A140" s="126" t="str">
        <f>HYPERLINK("https://phillipreeve.net/blog/review-sony-fe-90mm-f2-8-macro-oss-one-of-sonys-finest/","Sony 2.8/90 G OSS")</f>
        <v>Sony 2.8/90 G OSS</v>
      </c>
      <c r="B140" s="60">
        <v>602</v>
      </c>
      <c r="C140" s="67">
        <v>90</v>
      </c>
      <c r="D140" s="64">
        <v>2.8</v>
      </c>
      <c r="E140" s="194">
        <v>79</v>
      </c>
      <c r="F140" s="195">
        <v>131</v>
      </c>
      <c r="G140" s="74" t="s">
        <v>36</v>
      </c>
      <c r="H140" s="72" t="s">
        <v>101</v>
      </c>
      <c r="I140" s="263">
        <v>1</v>
      </c>
      <c r="J140" s="76">
        <v>1099</v>
      </c>
      <c r="K140" s="79" t="str">
        <f>HYPERLINK("http://amzn.to/2fbeX3x","link*")</f>
        <v>link*</v>
      </c>
      <c r="L140" s="79" t="str">
        <f>HYPERLINK("https://www.bhphotovideo.com/c/product/1380868-REG/sony_fe_90mm_f_2_8_macro.html/BI/19619/KBID/12129/kw/SO9028F/DFF/d10-v2-t1-xSO9028F","link*")</f>
        <v>link*</v>
      </c>
      <c r="M140" s="79" t="str">
        <f>HYPERLINK("http://amzn.to/2vvvHcw","link*")</f>
        <v>link*</v>
      </c>
      <c r="N140"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140" s="84">
        <v>28</v>
      </c>
      <c r="P140" s="134" t="s">
        <v>66</v>
      </c>
      <c r="Q140" s="74">
        <v>9</v>
      </c>
      <c r="R140" s="112">
        <v>43784</v>
      </c>
      <c r="S140" s="74" t="s">
        <v>41</v>
      </c>
      <c r="T140" s="88">
        <v>42064</v>
      </c>
    </row>
    <row r="141" spans="1:21" ht="13" hidden="1">
      <c r="A141" s="126" t="str">
        <f>HYPERLINK("https://phillipreeve.net/blog/review-sony-fe-100-f-2-8-stf-gm-oss-lens/","Sony GM 2.8/100 STF OSS")</f>
        <v>Sony GM 2.8/100 STF OSS</v>
      </c>
      <c r="B141" s="60">
        <v>700</v>
      </c>
      <c r="C141" s="67">
        <v>100</v>
      </c>
      <c r="D141" s="64">
        <v>2.8</v>
      </c>
      <c r="E141" s="194">
        <v>85</v>
      </c>
      <c r="F141" s="195">
        <v>118</v>
      </c>
      <c r="G141" s="74" t="s">
        <v>36</v>
      </c>
      <c r="H141" s="72" t="s">
        <v>64</v>
      </c>
      <c r="I141" s="239">
        <v>0.25</v>
      </c>
      <c r="J141" s="76">
        <v>1499</v>
      </c>
      <c r="K141" s="79" t="str">
        <f>HYPERLINK("https://amzn.to/2YD8rn4","link*")</f>
        <v>link*</v>
      </c>
      <c r="L141" s="79" t="str">
        <f>HYPERLINK("https://www.bhphotovideo.com/c/product/1317561-REG/sony_sel100f28gm_fe_100mm_f_2_8_stf.html/BI/19619/KBID/12129/DFF/d10-v21-t1-x795192/SID/EZ","link*")</f>
        <v>link*</v>
      </c>
      <c r="M141" s="113" t="s">
        <v>51</v>
      </c>
      <c r="N141" s="7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141" s="84">
        <v>57</v>
      </c>
      <c r="P141" s="134" t="s">
        <v>66</v>
      </c>
      <c r="Q141" s="74">
        <v>11</v>
      </c>
      <c r="R141" s="112">
        <v>43752</v>
      </c>
      <c r="S141" s="74" t="s">
        <v>41</v>
      </c>
      <c r="T141" s="88">
        <v>42767</v>
      </c>
      <c r="U141" s="77" t="s">
        <v>178</v>
      </c>
    </row>
    <row r="142" spans="1:21" ht="13" hidden="1">
      <c r="A142" s="126" t="str">
        <f>HYPERLINK("https://phillipreeve.net/blog/review-tokina-firin-100mm-f2-8-fe-macro/","Tokina Firin 2.8/100 Macro")</f>
        <v>Tokina Firin 2.8/100 Macro</v>
      </c>
      <c r="B142" s="60">
        <v>570</v>
      </c>
      <c r="C142" s="67">
        <v>100</v>
      </c>
      <c r="D142" s="64">
        <v>2.8</v>
      </c>
      <c r="E142" s="194">
        <v>74</v>
      </c>
      <c r="F142" s="176">
        <v>123</v>
      </c>
      <c r="G142" s="74" t="s">
        <v>36</v>
      </c>
      <c r="H142" s="72" t="s">
        <v>147</v>
      </c>
      <c r="I142" s="263">
        <v>1</v>
      </c>
      <c r="J142" s="184">
        <v>599</v>
      </c>
      <c r="K142" s="79" t="str">
        <f>HYPERLINK("http://amzn.to/2fbeX3x","link*")</f>
        <v>link*</v>
      </c>
      <c r="L142" s="79" t="str">
        <f>HYPERLINK("https://www.bhphotovideo.com/c/product/1473390-REG/tokina_frn_afm100fxse_firin_100mm_f_2_8_fe.html/BI/19619/KBID/12129/kw/TO100AF/DFF/d10-v2-t1-xTO100AF","link*")</f>
        <v>link*</v>
      </c>
      <c r="M142" s="79"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N142"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142" s="84">
        <v>30</v>
      </c>
      <c r="P142" s="70" t="s">
        <v>27</v>
      </c>
      <c r="Q142" s="74">
        <v>9</v>
      </c>
      <c r="R142" s="112">
        <v>43686</v>
      </c>
      <c r="S142" s="74" t="s">
        <v>103</v>
      </c>
      <c r="T142" s="88">
        <v>43617</v>
      </c>
      <c r="U142" s="77" t="s">
        <v>48</v>
      </c>
    </row>
    <row r="143" spans="1:21" ht="13" hidden="1">
      <c r="A143" s="58" t="s">
        <v>179</v>
      </c>
      <c r="B143" s="60">
        <v>1395</v>
      </c>
      <c r="C143" s="67">
        <v>100</v>
      </c>
      <c r="D143" s="64" t="s">
        <v>171</v>
      </c>
      <c r="E143" s="194">
        <v>94</v>
      </c>
      <c r="F143" s="176">
        <v>205</v>
      </c>
      <c r="G143" s="74" t="s">
        <v>36</v>
      </c>
      <c r="H143" s="72" t="s">
        <v>80</v>
      </c>
      <c r="I143" s="239">
        <v>0.35</v>
      </c>
      <c r="J143" s="76">
        <v>2499</v>
      </c>
      <c r="K143" s="79" t="str">
        <f>HYPERLINK("https://amzn.to/2SZ0aZO","link*")</f>
        <v>link*</v>
      </c>
      <c r="L143" s="79" t="str">
        <f>HYPERLINK("https://www.bhphotovideo.com/c/product/1333230-REG/sony_sel100400gm_fe_100_400mm_f_4_5_5_6_gm.html/BI/19619/KBID/12129/DFF/d10-v21-t1-x817745/SID/EZ","link*")</f>
        <v>link*</v>
      </c>
      <c r="M143" s="113" t="s">
        <v>51</v>
      </c>
      <c r="N143" s="79"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143" s="84">
        <v>98</v>
      </c>
      <c r="P143" s="134" t="s">
        <v>66</v>
      </c>
      <c r="Q143" s="74">
        <v>11</v>
      </c>
      <c r="R143" s="115" t="s">
        <v>180</v>
      </c>
      <c r="S143" s="74" t="s">
        <v>41</v>
      </c>
      <c r="T143" s="88">
        <v>42826</v>
      </c>
    </row>
    <row r="144" spans="1:21" ht="13" hidden="1">
      <c r="A144" s="58" t="s">
        <v>181</v>
      </c>
      <c r="B144" s="60">
        <v>1600</v>
      </c>
      <c r="C144" s="67">
        <v>105</v>
      </c>
      <c r="D144" s="64">
        <v>1.4</v>
      </c>
      <c r="E144" s="194">
        <v>116</v>
      </c>
      <c r="F144" s="176">
        <v>132</v>
      </c>
      <c r="G144" s="74" t="s">
        <v>36</v>
      </c>
      <c r="H144" s="278" t="s">
        <v>182</v>
      </c>
      <c r="I144" s="74">
        <v>0.12</v>
      </c>
      <c r="J144" s="76">
        <v>1599</v>
      </c>
      <c r="K144" s="79" t="str">
        <f>HYPERLINK("https://amzn.to/2EWeThZ","link*")</f>
        <v>link*</v>
      </c>
      <c r="L144" s="79" t="str">
        <f>HYPERLINK("https://www.bhphotovideo.com/c/product/1393488-REG/sigma_105mm_f_1_4_dg_hsm.html/BI/19619/KBID/12129/kw/SI10514SO/DFF/d10-v2-t1-xSI10514SO","link*")</f>
        <v>link*</v>
      </c>
      <c r="M144" s="79" t="str">
        <f>HYPERLINK("https://amzn.to/2WpOvTy","link*")</f>
        <v>link*</v>
      </c>
      <c r="N144" s="79" t="e">
        <f>HYPERLINK("http://rover.ebay.com/rover/1/711-53200-19255-0/1?icep_ff3=9&amp;pub=5575076376&amp;toolid=10001&amp;campid=5338164340&amp;customid=&amp;icep_uq=sigma+art+100+1.4+sony&amp;icep_sellerId=&amp;icep_ex_kw=&amp;icep_sortBy=12&amp;icep_catId=3323&amp;icep_minPrice=&amp;icep_maxPrice=&amp;ipn=psmain&amp;icep_vec"&amp;"torid=229466&amp;kwid=902099&amp;mtid=824&amp;kw=lg","link*")</f>
        <v>#VALUE!</v>
      </c>
      <c r="O144" s="84">
        <v>100</v>
      </c>
      <c r="P144" s="70" t="s">
        <v>27</v>
      </c>
      <c r="Q144" s="74">
        <v>9</v>
      </c>
      <c r="R144" s="112">
        <v>43816</v>
      </c>
      <c r="S144" s="74" t="s">
        <v>183</v>
      </c>
      <c r="T144" s="88">
        <v>43221</v>
      </c>
      <c r="U144" s="77" t="s">
        <v>48</v>
      </c>
    </row>
    <row r="145" spans="1:21" ht="13" hidden="1">
      <c r="A145" s="126" t="str">
        <f>HYPERLINK("https://phillipreeve.net/blog/voigtlander-110mm-f2-5-apo-review/","Voigtlander 110mm F2.5 APO Macro")</f>
        <v>Voigtlander 110mm F2.5 APO Macro</v>
      </c>
      <c r="B145" s="60">
        <v>771</v>
      </c>
      <c r="C145" s="67">
        <v>110</v>
      </c>
      <c r="D145" s="64">
        <v>2.5</v>
      </c>
      <c r="E145" s="194">
        <v>78</v>
      </c>
      <c r="F145" s="195">
        <v>100</v>
      </c>
      <c r="G145" s="74" t="s">
        <v>25</v>
      </c>
      <c r="H145" s="72" t="s">
        <v>71</v>
      </c>
      <c r="I145" s="263">
        <v>1</v>
      </c>
      <c r="J145" s="76">
        <v>1099</v>
      </c>
      <c r="K145" s="79" t="str">
        <f>HYPERLINK("https://amzn.to/2SXYsrm","link*")</f>
        <v>link*</v>
      </c>
      <c r="L145" s="79" t="str">
        <f>HYPERLINK("https://www.bhphotovideo.com/c/product/1418780-REG/voigtlander_ba349a_macro_apo_lanthar_110mm_f_2_5.html/BI/19619/KBID/12129/kw/VO11025/DFF/d10-v2-t1-xVO11025","link*")</f>
        <v>link*</v>
      </c>
      <c r="M145" s="113" t="s">
        <v>51</v>
      </c>
      <c r="N145" s="79"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O145" s="84">
        <v>35</v>
      </c>
      <c r="P145" s="70" t="s">
        <v>27</v>
      </c>
      <c r="Q145" s="74">
        <v>10</v>
      </c>
      <c r="R145" s="112">
        <v>43813</v>
      </c>
      <c r="S145" s="74" t="s">
        <v>29</v>
      </c>
      <c r="T145" s="88">
        <v>43405</v>
      </c>
    </row>
    <row r="146" spans="1:21" ht="13" hidden="1">
      <c r="A146" s="126" t="str">
        <f>HYPERLINK("https://phillipreeve.net/blog/review-sony-fe-135mm-f1-8-gm/","Sony 1.8/135 GM")</f>
        <v>Sony 1.8/135 GM</v>
      </c>
      <c r="B146" s="60">
        <v>950</v>
      </c>
      <c r="C146" s="67">
        <v>135</v>
      </c>
      <c r="D146" s="64">
        <v>1.8</v>
      </c>
      <c r="E146" s="194">
        <v>90</v>
      </c>
      <c r="F146" s="195">
        <v>127</v>
      </c>
      <c r="G146" s="74" t="s">
        <v>36</v>
      </c>
      <c r="H146" s="236" t="s">
        <v>68</v>
      </c>
      <c r="I146" s="239">
        <v>0.25</v>
      </c>
      <c r="J146" s="76">
        <v>1899</v>
      </c>
      <c r="K146" s="79" t="str">
        <f>HYPERLINK("https://amzn.to/2WtonMJ","link*")</f>
        <v>link*</v>
      </c>
      <c r="L146" s="79" t="str">
        <f>HYPERLINK("https://www.bhphotovideo.com/c/product/1393495-REG/sigma_135mm_f_1_8_dg_hsm.html/BI/19619/KBID/12129/kw/SI13518SO/DFF/d10-v2-t1-xSI13518SO","link*")</f>
        <v>link*</v>
      </c>
      <c r="M146" s="79" t="str">
        <f>HYPERLINK("https://amzn.to/2Z9KKDE","link*")</f>
        <v>link*</v>
      </c>
      <c r="N146" s="7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146" s="84">
        <v>70</v>
      </c>
      <c r="P146" s="70" t="s">
        <v>27</v>
      </c>
      <c r="Q146" s="74">
        <v>11</v>
      </c>
      <c r="R146" s="112">
        <v>43751</v>
      </c>
      <c r="S146" s="74" t="s">
        <v>41</v>
      </c>
      <c r="T146" s="88">
        <v>43525</v>
      </c>
    </row>
    <row r="147" spans="1:21" ht="13" hidden="1">
      <c r="A147" s="58" t="s">
        <v>185</v>
      </c>
      <c r="B147" s="60">
        <v>1130</v>
      </c>
      <c r="C147" s="67">
        <v>135</v>
      </c>
      <c r="D147" s="64">
        <v>1.8</v>
      </c>
      <c r="E147" s="194">
        <v>91</v>
      </c>
      <c r="F147" s="195">
        <v>115</v>
      </c>
      <c r="G147" s="74" t="s">
        <v>36</v>
      </c>
      <c r="H147" s="236" t="s">
        <v>68</v>
      </c>
      <c r="I147" s="74">
        <v>0.2</v>
      </c>
      <c r="J147" s="184">
        <v>1399</v>
      </c>
      <c r="K147" s="79" t="str">
        <f>HYPERLINK("https://amzn.to/2yxIM4R","link*")</f>
        <v>link*</v>
      </c>
      <c r="L147" s="79" t="str">
        <f>HYPERLINK("https://www.bhphotovideo.com/c/product/1393495-REG/sigma_135mm_f_1_8_dg_hsm.html/BI/19619/KBID/12129/DFF/d10-v21-t1-x881160/SID/EZ","link*")</f>
        <v>link*</v>
      </c>
      <c r="M147" s="113" t="s">
        <v>51</v>
      </c>
      <c r="N147" s="79"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O147" s="84">
        <v>87</v>
      </c>
      <c r="P147" s="70" t="s">
        <v>27</v>
      </c>
      <c r="Q147" s="74">
        <v>9</v>
      </c>
      <c r="R147" s="112">
        <v>43751</v>
      </c>
      <c r="S147" s="74" t="s">
        <v>47</v>
      </c>
      <c r="T147" s="88">
        <v>43221</v>
      </c>
      <c r="U147" s="77" t="s">
        <v>48</v>
      </c>
    </row>
    <row r="148" spans="1:21" ht="13">
      <c r="A148" s="126" t="str">
        <f>HYPERLINK("https://phillipreeve.net/blog/zeiss-batis-apo-sonnar-t-135mm-f2-8/","Zeiss 2.8/135 APO")</f>
        <v>Zeiss 2.8/135 APO</v>
      </c>
      <c r="B148" s="60">
        <v>614</v>
      </c>
      <c r="C148" s="67">
        <v>135</v>
      </c>
      <c r="D148" s="64">
        <v>2.8</v>
      </c>
      <c r="E148" s="194">
        <v>99</v>
      </c>
      <c r="F148" s="195">
        <v>120</v>
      </c>
      <c r="G148" s="74" t="s">
        <v>36</v>
      </c>
      <c r="H148" s="72" t="s">
        <v>73</v>
      </c>
      <c r="I148" s="74">
        <v>0.19</v>
      </c>
      <c r="J148" s="76">
        <v>1699</v>
      </c>
      <c r="K148" s="79" t="str">
        <f>HYPERLINK("https://amzn.to/319GJA4","link*")</f>
        <v>link*</v>
      </c>
      <c r="L148" s="79" t="str">
        <f>HYPERLINK("https://www.bhphotovideo.com/c/product/1330083-REG/zeiss_2136_695_batis_135mm_f_2_8_lens.html/BI/19619/KBID/12129/DFF/d10-v21-t1-x814884/SID/EZ","link*")</f>
        <v>link*</v>
      </c>
      <c r="M148" s="113" t="s">
        <v>51</v>
      </c>
      <c r="N148" s="79"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148" s="84">
        <v>87</v>
      </c>
      <c r="P148" s="134" t="s">
        <v>66</v>
      </c>
      <c r="Q148" s="74">
        <v>9</v>
      </c>
      <c r="R148" s="112">
        <v>43783</v>
      </c>
      <c r="S148" s="74" t="s">
        <v>87</v>
      </c>
      <c r="T148" s="88">
        <v>42826</v>
      </c>
    </row>
    <row r="149" spans="1:21" ht="13" hidden="1">
      <c r="A149" s="58" t="s">
        <v>186</v>
      </c>
      <c r="B149" s="60">
        <v>2215</v>
      </c>
      <c r="C149" s="67">
        <v>200</v>
      </c>
      <c r="D149" s="64" t="s">
        <v>187</v>
      </c>
      <c r="E149" s="194">
        <v>112</v>
      </c>
      <c r="F149" s="195">
        <v>318</v>
      </c>
      <c r="G149" s="74" t="s">
        <v>36</v>
      </c>
      <c r="H149" s="244" t="s">
        <v>152</v>
      </c>
      <c r="I149" s="74">
        <v>0.2</v>
      </c>
      <c r="J149" s="76">
        <v>1999</v>
      </c>
      <c r="K149" s="113"/>
      <c r="L149" s="79" t="str">
        <f>HYPERLINK("https://www.bhphotovideo.com/c/product/1485540-REG/sony_sel200600g_fe_200_600mm_f_5_6_6_3_g.html/BI/19619/KBID/12129/DFF/d10-v21-t1-x968882/SID/EZ","link*")</f>
        <v>link*</v>
      </c>
      <c r="M149" s="113" t="s">
        <v>51</v>
      </c>
      <c r="N149" s="79"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O149" s="84">
        <v>240</v>
      </c>
      <c r="P149" s="134" t="s">
        <v>66</v>
      </c>
      <c r="Q149" s="74">
        <v>11</v>
      </c>
      <c r="R149" s="115" t="s">
        <v>188</v>
      </c>
      <c r="S149" s="74" t="s">
        <v>41</v>
      </c>
      <c r="T149" s="88">
        <v>43647</v>
      </c>
    </row>
    <row r="150" spans="1:21" ht="13" hidden="1">
      <c r="A150" s="58" t="s">
        <v>189</v>
      </c>
      <c r="B150" s="60">
        <v>2895</v>
      </c>
      <c r="C150" s="67">
        <v>400</v>
      </c>
      <c r="D150" s="64">
        <v>2.8</v>
      </c>
      <c r="E150" s="194">
        <v>158</v>
      </c>
      <c r="F150" s="195">
        <v>359</v>
      </c>
      <c r="G150" s="74" t="s">
        <v>36</v>
      </c>
      <c r="H150" s="72" t="s">
        <v>190</v>
      </c>
      <c r="I150" s="74">
        <v>0.16</v>
      </c>
      <c r="J150" s="76">
        <v>11999</v>
      </c>
      <c r="K150" s="113"/>
      <c r="L150" s="79" t="str">
        <f>HYPERLINK("https://www.bhphotovideo.com/c/product/1369634-REG/sony_fe_400mm_f_2_8_gm.html/BI/19619/KBID/12129/DFF/d10-v21-t1-x905722/SID/EZ","link*")</f>
        <v>link*</v>
      </c>
      <c r="M150" s="113" t="s">
        <v>51</v>
      </c>
      <c r="N150" s="79"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O150" s="84">
        <v>270</v>
      </c>
      <c r="P150" s="134" t="s">
        <v>66</v>
      </c>
      <c r="Q150" s="74">
        <v>11</v>
      </c>
      <c r="R150" s="115" t="s">
        <v>191</v>
      </c>
      <c r="S150" s="74" t="s">
        <v>41</v>
      </c>
      <c r="T150" s="88">
        <v>43313</v>
      </c>
    </row>
    <row r="151" spans="1:21" ht="13" hidden="1">
      <c r="A151" s="281" t="s">
        <v>192</v>
      </c>
      <c r="B151" s="282">
        <v>3040</v>
      </c>
      <c r="C151" s="402">
        <v>600</v>
      </c>
      <c r="D151" s="284">
        <v>4</v>
      </c>
      <c r="E151" s="194">
        <v>164</v>
      </c>
      <c r="F151" s="195">
        <v>449</v>
      </c>
      <c r="G151" s="285" t="s">
        <v>36</v>
      </c>
      <c r="H151" s="286" t="s">
        <v>26</v>
      </c>
      <c r="I151" s="285">
        <v>0.14000000000000001</v>
      </c>
      <c r="J151" s="203" t="s">
        <v>193</v>
      </c>
      <c r="K151" s="113"/>
      <c r="L151" s="79" t="str">
        <f>HYPERLINK("https://www.bhphotovideo.com/c/product/1485539-REG/sony_sel600f40gm_fe_600mm_f_4_gm.html/BI/19619/KBID/12129/DFF/d10-v21-t1-x968881/SID/EZ","link*")</f>
        <v>link*</v>
      </c>
      <c r="M151" s="113" t="s">
        <v>51</v>
      </c>
      <c r="N151" s="7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151" s="287">
        <v>451</v>
      </c>
      <c r="P151" s="134" t="s">
        <v>66</v>
      </c>
      <c r="Q151" s="285">
        <v>11</v>
      </c>
      <c r="R151" s="288" t="s">
        <v>195</v>
      </c>
      <c r="S151" s="285" t="s">
        <v>41</v>
      </c>
      <c r="T151" s="289">
        <v>43678</v>
      </c>
    </row>
    <row r="152" spans="1:21" ht="13">
      <c r="H152" s="226"/>
      <c r="K152" s="214"/>
      <c r="L152" s="214"/>
      <c r="M152" s="214"/>
      <c r="N152" s="214"/>
    </row>
    <row r="153" spans="1:21" ht="13">
      <c r="H153" s="226"/>
    </row>
    <row r="154" spans="1:21" ht="13">
      <c r="H154" s="226"/>
    </row>
    <row r="155" spans="1:21" ht="13">
      <c r="H155" s="226"/>
    </row>
    <row r="156" spans="1:21" ht="13">
      <c r="H156" s="226"/>
    </row>
    <row r="157" spans="1:21" ht="13">
      <c r="H157" s="226"/>
    </row>
    <row r="158" spans="1:21" ht="13">
      <c r="H158" s="226"/>
    </row>
    <row r="159" spans="1:21" ht="13">
      <c r="H159" s="226"/>
    </row>
    <row r="160" spans="1:21" ht="13">
      <c r="H160" s="226"/>
    </row>
    <row r="161" spans="8:8" ht="13">
      <c r="H161" s="226"/>
    </row>
    <row r="162" spans="8:8" ht="13">
      <c r="H162" s="226"/>
    </row>
    <row r="163" spans="8:8" ht="13">
      <c r="H163" s="226"/>
    </row>
    <row r="164" spans="8:8" ht="13">
      <c r="H164" s="226"/>
    </row>
    <row r="165" spans="8:8" ht="13">
      <c r="H165" s="226"/>
    </row>
    <row r="166" spans="8:8" ht="13">
      <c r="H166" s="226"/>
    </row>
    <row r="167" spans="8:8" ht="13">
      <c r="H167" s="226"/>
    </row>
    <row r="168" spans="8:8" ht="13">
      <c r="H168" s="226"/>
    </row>
    <row r="169" spans="8:8" ht="13">
      <c r="H169" s="226"/>
    </row>
    <row r="170" spans="8:8" ht="13">
      <c r="H170" s="226"/>
    </row>
    <row r="171" spans="8:8" ht="13">
      <c r="H171" s="226"/>
    </row>
    <row r="172" spans="8:8" ht="13">
      <c r="H172" s="226"/>
    </row>
    <row r="173" spans="8:8" ht="13">
      <c r="H173" s="226"/>
    </row>
    <row r="174" spans="8:8" ht="13">
      <c r="H174" s="226"/>
    </row>
    <row r="175" spans="8:8" ht="13">
      <c r="H175" s="226"/>
    </row>
    <row r="176" spans="8:8" ht="13">
      <c r="H176" s="226"/>
    </row>
    <row r="177" spans="8:8" ht="13">
      <c r="H177" s="226"/>
    </row>
    <row r="178" spans="8:8" ht="13">
      <c r="H178" s="226"/>
    </row>
    <row r="179" spans="8:8" ht="13">
      <c r="H179" s="226"/>
    </row>
    <row r="180" spans="8:8" ht="13">
      <c r="H180" s="226"/>
    </row>
    <row r="181" spans="8:8" ht="13">
      <c r="H181" s="226"/>
    </row>
    <row r="182" spans="8:8" ht="13">
      <c r="H182" s="226"/>
    </row>
    <row r="183" spans="8:8" ht="13">
      <c r="H183" s="226"/>
    </row>
    <row r="184" spans="8:8" ht="13">
      <c r="H184" s="226"/>
    </row>
    <row r="185" spans="8:8" ht="13">
      <c r="H185" s="226"/>
    </row>
    <row r="186" spans="8:8" ht="13">
      <c r="H186" s="226"/>
    </row>
    <row r="187" spans="8:8" ht="13">
      <c r="H187" s="226"/>
    </row>
    <row r="188" spans="8:8" ht="13">
      <c r="H188" s="226"/>
    </row>
    <row r="189" spans="8:8" ht="13">
      <c r="H189" s="226"/>
    </row>
    <row r="190" spans="8:8" ht="13">
      <c r="H190" s="226"/>
    </row>
    <row r="191" spans="8:8" ht="13">
      <c r="H191" s="226"/>
    </row>
    <row r="192" spans="8:8" ht="13">
      <c r="H192" s="226"/>
    </row>
    <row r="193" spans="8:8" ht="13">
      <c r="H193" s="226"/>
    </row>
    <row r="194" spans="8:8" ht="13">
      <c r="H194" s="226"/>
    </row>
    <row r="195" spans="8:8" ht="13">
      <c r="H195" s="226"/>
    </row>
    <row r="196" spans="8:8" ht="13">
      <c r="H196" s="226"/>
    </row>
    <row r="197" spans="8:8" ht="13">
      <c r="H197" s="226"/>
    </row>
    <row r="198" spans="8:8" ht="13">
      <c r="H198" s="226"/>
    </row>
    <row r="199" spans="8:8" ht="13">
      <c r="H199" s="226"/>
    </row>
    <row r="200" spans="8:8" ht="13">
      <c r="H200" s="226"/>
    </row>
    <row r="201" spans="8:8" ht="13">
      <c r="H201" s="226"/>
    </row>
    <row r="202" spans="8:8" ht="13">
      <c r="H202" s="226"/>
    </row>
    <row r="203" spans="8:8" ht="13">
      <c r="H203" s="226"/>
    </row>
    <row r="204" spans="8:8" ht="13">
      <c r="H204" s="226"/>
    </row>
    <row r="205" spans="8:8" ht="13">
      <c r="H205" s="226"/>
    </row>
    <row r="206" spans="8:8" ht="13">
      <c r="H206" s="226"/>
    </row>
    <row r="207" spans="8:8" ht="13">
      <c r="H207" s="226"/>
    </row>
    <row r="208" spans="8:8" ht="13">
      <c r="H208" s="226"/>
    </row>
    <row r="209" spans="8:8" ht="13">
      <c r="H209" s="226"/>
    </row>
    <row r="210" spans="8:8" ht="13">
      <c r="H210" s="226"/>
    </row>
    <row r="211" spans="8:8" ht="13">
      <c r="H211" s="226"/>
    </row>
    <row r="212" spans="8:8" ht="13">
      <c r="H212" s="226"/>
    </row>
    <row r="213" spans="8:8" ht="13">
      <c r="H213" s="226"/>
    </row>
    <row r="214" spans="8:8" ht="13">
      <c r="H214" s="226"/>
    </row>
    <row r="215" spans="8:8" ht="13">
      <c r="H215" s="226"/>
    </row>
    <row r="216" spans="8:8" ht="13">
      <c r="H216" s="226"/>
    </row>
    <row r="217" spans="8:8" ht="13">
      <c r="H217" s="226"/>
    </row>
    <row r="218" spans="8:8" ht="13">
      <c r="H218" s="226"/>
    </row>
    <row r="219" spans="8:8" ht="13">
      <c r="H219" s="226"/>
    </row>
    <row r="220" spans="8:8" ht="13">
      <c r="H220" s="226"/>
    </row>
    <row r="221" spans="8:8" ht="13">
      <c r="H221" s="226"/>
    </row>
    <row r="222" spans="8:8" ht="13">
      <c r="H222" s="226"/>
    </row>
    <row r="223" spans="8:8" ht="13">
      <c r="H223" s="226"/>
    </row>
    <row r="224" spans="8:8" ht="13">
      <c r="H224" s="226"/>
    </row>
    <row r="225" spans="8:8" ht="13">
      <c r="H225" s="226"/>
    </row>
    <row r="226" spans="8:8" ht="13">
      <c r="H226" s="226"/>
    </row>
    <row r="227" spans="8:8" ht="13">
      <c r="H227" s="226"/>
    </row>
    <row r="228" spans="8:8" ht="13">
      <c r="H228" s="226"/>
    </row>
    <row r="229" spans="8:8" ht="13">
      <c r="H229" s="226"/>
    </row>
    <row r="230" spans="8:8" ht="13">
      <c r="H230" s="226"/>
    </row>
    <row r="231" spans="8:8" ht="13">
      <c r="H231" s="226"/>
    </row>
    <row r="232" spans="8:8" ht="13">
      <c r="H232" s="226"/>
    </row>
    <row r="233" spans="8:8" ht="13">
      <c r="H233" s="226"/>
    </row>
    <row r="234" spans="8:8" ht="13">
      <c r="H234" s="226"/>
    </row>
    <row r="235" spans="8:8" ht="13">
      <c r="H235" s="226"/>
    </row>
    <row r="236" spans="8:8" ht="13">
      <c r="H236" s="226"/>
    </row>
    <row r="237" spans="8:8" ht="13">
      <c r="H237" s="226"/>
    </row>
    <row r="238" spans="8:8" ht="13">
      <c r="H238" s="226"/>
    </row>
    <row r="239" spans="8:8" ht="13">
      <c r="H239" s="226"/>
    </row>
    <row r="240" spans="8:8" ht="13">
      <c r="H240" s="226"/>
    </row>
    <row r="241" spans="8:8" ht="13">
      <c r="H241" s="226"/>
    </row>
    <row r="242" spans="8:8" ht="13">
      <c r="H242" s="226"/>
    </row>
    <row r="243" spans="8:8" ht="13">
      <c r="H243" s="226"/>
    </row>
    <row r="244" spans="8:8" ht="13">
      <c r="H244" s="226"/>
    </row>
    <row r="245" spans="8:8" ht="13">
      <c r="H245" s="226"/>
    </row>
    <row r="246" spans="8:8" ht="13">
      <c r="H246" s="226"/>
    </row>
    <row r="247" spans="8:8" ht="13">
      <c r="H247" s="226"/>
    </row>
    <row r="248" spans="8:8" ht="13">
      <c r="H248" s="226"/>
    </row>
    <row r="249" spans="8:8" ht="13">
      <c r="H249" s="226"/>
    </row>
    <row r="250" spans="8:8" ht="13">
      <c r="H250" s="226"/>
    </row>
    <row r="251" spans="8:8" ht="13">
      <c r="H251" s="226"/>
    </row>
    <row r="252" spans="8:8" ht="13">
      <c r="H252" s="226"/>
    </row>
    <row r="253" spans="8:8" ht="13">
      <c r="H253" s="226"/>
    </row>
    <row r="254" spans="8:8" ht="13">
      <c r="H254" s="226"/>
    </row>
    <row r="255" spans="8:8" ht="13">
      <c r="H255" s="226"/>
    </row>
    <row r="256" spans="8:8" ht="13">
      <c r="H256" s="226"/>
    </row>
    <row r="257" spans="8:8" ht="13">
      <c r="H257" s="226"/>
    </row>
    <row r="258" spans="8:8" ht="13">
      <c r="H258" s="226"/>
    </row>
    <row r="259" spans="8:8" ht="13">
      <c r="H259" s="226"/>
    </row>
    <row r="260" spans="8:8" ht="13">
      <c r="H260" s="226"/>
    </row>
    <row r="261" spans="8:8" ht="13">
      <c r="H261" s="226"/>
    </row>
    <row r="262" spans="8:8" ht="13">
      <c r="H262" s="226"/>
    </row>
    <row r="263" spans="8:8" ht="13">
      <c r="H263" s="226"/>
    </row>
    <row r="264" spans="8:8" ht="13">
      <c r="H264" s="226"/>
    </row>
    <row r="265" spans="8:8" ht="13">
      <c r="H265" s="226"/>
    </row>
    <row r="266" spans="8:8" ht="13">
      <c r="H266" s="226"/>
    </row>
    <row r="267" spans="8:8" ht="13">
      <c r="H267" s="226"/>
    </row>
    <row r="268" spans="8:8" ht="13">
      <c r="H268" s="226"/>
    </row>
    <row r="269" spans="8:8" ht="13">
      <c r="H269" s="226"/>
    </row>
    <row r="270" spans="8:8" ht="13">
      <c r="H270" s="226"/>
    </row>
    <row r="271" spans="8:8" ht="13">
      <c r="H271" s="226"/>
    </row>
    <row r="272" spans="8:8" ht="13">
      <c r="H272" s="226"/>
    </row>
    <row r="273" spans="8:8" ht="13">
      <c r="H273" s="226"/>
    </row>
    <row r="274" spans="8:8" ht="13">
      <c r="H274" s="226"/>
    </row>
    <row r="275" spans="8:8" ht="13">
      <c r="H275" s="226"/>
    </row>
    <row r="276" spans="8:8" ht="13">
      <c r="H276" s="226"/>
    </row>
    <row r="277" spans="8:8" ht="13">
      <c r="H277" s="226"/>
    </row>
    <row r="278" spans="8:8" ht="13">
      <c r="H278" s="226"/>
    </row>
    <row r="279" spans="8:8" ht="13">
      <c r="H279" s="226"/>
    </row>
    <row r="280" spans="8:8" ht="13">
      <c r="H280" s="226"/>
    </row>
    <row r="281" spans="8:8" ht="13">
      <c r="H281" s="226"/>
    </row>
    <row r="282" spans="8:8" ht="13">
      <c r="H282" s="226"/>
    </row>
    <row r="283" spans="8:8" ht="13">
      <c r="H283" s="226"/>
    </row>
    <row r="284" spans="8:8" ht="13">
      <c r="H284" s="226"/>
    </row>
    <row r="285" spans="8:8" ht="13">
      <c r="H285" s="226"/>
    </row>
    <row r="286" spans="8:8" ht="13">
      <c r="H286" s="226"/>
    </row>
    <row r="287" spans="8:8" ht="13">
      <c r="H287" s="226"/>
    </row>
    <row r="288" spans="8:8" ht="13">
      <c r="H288" s="226"/>
    </row>
    <row r="289" spans="8:8" ht="13">
      <c r="H289" s="226"/>
    </row>
    <row r="290" spans="8:8" ht="13">
      <c r="H290" s="226"/>
    </row>
    <row r="291" spans="8:8" ht="13">
      <c r="H291" s="226"/>
    </row>
    <row r="292" spans="8:8" ht="13">
      <c r="H292" s="226"/>
    </row>
    <row r="293" spans="8:8" ht="13">
      <c r="H293" s="226"/>
    </row>
    <row r="294" spans="8:8" ht="13">
      <c r="H294" s="226"/>
    </row>
    <row r="295" spans="8:8" ht="13">
      <c r="H295" s="226"/>
    </row>
    <row r="296" spans="8:8" ht="13">
      <c r="H296" s="226"/>
    </row>
    <row r="297" spans="8:8" ht="13">
      <c r="H297" s="226"/>
    </row>
    <row r="298" spans="8:8" ht="13">
      <c r="H298" s="226"/>
    </row>
    <row r="299" spans="8:8" ht="13">
      <c r="H299" s="226"/>
    </row>
    <row r="300" spans="8:8" ht="13">
      <c r="H300" s="226"/>
    </row>
    <row r="301" spans="8:8" ht="13">
      <c r="H301" s="226"/>
    </row>
    <row r="302" spans="8:8" ht="13">
      <c r="H302" s="226"/>
    </row>
    <row r="303" spans="8:8" ht="13">
      <c r="H303" s="226"/>
    </row>
    <row r="304" spans="8:8" ht="13">
      <c r="H304" s="226"/>
    </row>
    <row r="305" spans="8:8" ht="13">
      <c r="H305" s="226"/>
    </row>
    <row r="306" spans="8:8" ht="13">
      <c r="H306" s="226"/>
    </row>
    <row r="307" spans="8:8" ht="13">
      <c r="H307" s="226"/>
    </row>
    <row r="308" spans="8:8" ht="13">
      <c r="H308" s="226"/>
    </row>
    <row r="309" spans="8:8" ht="13">
      <c r="H309" s="226"/>
    </row>
    <row r="310" spans="8:8" ht="13">
      <c r="H310" s="226"/>
    </row>
    <row r="311" spans="8:8" ht="13">
      <c r="H311" s="226"/>
    </row>
    <row r="312" spans="8:8" ht="13">
      <c r="H312" s="226"/>
    </row>
    <row r="313" spans="8:8" ht="13">
      <c r="H313" s="226"/>
    </row>
    <row r="314" spans="8:8" ht="13">
      <c r="H314" s="226"/>
    </row>
    <row r="315" spans="8:8" ht="13">
      <c r="H315" s="226"/>
    </row>
    <row r="316" spans="8:8" ht="13">
      <c r="H316" s="226"/>
    </row>
    <row r="317" spans="8:8" ht="13">
      <c r="H317" s="226"/>
    </row>
    <row r="318" spans="8:8" ht="13">
      <c r="H318" s="226"/>
    </row>
    <row r="319" spans="8:8" ht="13">
      <c r="H319" s="226"/>
    </row>
    <row r="320" spans="8:8" ht="13">
      <c r="H320" s="226"/>
    </row>
    <row r="321" spans="8:8" ht="13">
      <c r="H321" s="226"/>
    </row>
    <row r="322" spans="8:8" ht="13">
      <c r="H322" s="226"/>
    </row>
    <row r="323" spans="8:8" ht="13">
      <c r="H323" s="226"/>
    </row>
    <row r="324" spans="8:8" ht="13">
      <c r="H324" s="226"/>
    </row>
    <row r="325" spans="8:8" ht="13">
      <c r="H325" s="226"/>
    </row>
    <row r="326" spans="8:8" ht="13">
      <c r="H326" s="226"/>
    </row>
    <row r="327" spans="8:8" ht="13">
      <c r="H327" s="226"/>
    </row>
    <row r="328" spans="8:8" ht="13">
      <c r="H328" s="226"/>
    </row>
    <row r="329" spans="8:8" ht="13">
      <c r="H329" s="226"/>
    </row>
    <row r="330" spans="8:8" ht="13">
      <c r="H330" s="226"/>
    </row>
    <row r="331" spans="8:8" ht="13">
      <c r="H331" s="226"/>
    </row>
    <row r="332" spans="8:8" ht="13">
      <c r="H332" s="226"/>
    </row>
    <row r="333" spans="8:8" ht="13">
      <c r="H333" s="226"/>
    </row>
    <row r="334" spans="8:8" ht="13">
      <c r="H334" s="226"/>
    </row>
    <row r="335" spans="8:8" ht="13">
      <c r="H335" s="226"/>
    </row>
    <row r="336" spans="8:8" ht="13">
      <c r="H336" s="226"/>
    </row>
    <row r="337" spans="8:8" ht="13">
      <c r="H337" s="226"/>
    </row>
    <row r="338" spans="8:8" ht="13">
      <c r="H338" s="226"/>
    </row>
    <row r="339" spans="8:8" ht="13">
      <c r="H339" s="226"/>
    </row>
    <row r="340" spans="8:8" ht="13">
      <c r="H340" s="226"/>
    </row>
    <row r="341" spans="8:8" ht="13">
      <c r="H341" s="226"/>
    </row>
    <row r="342" spans="8:8" ht="13">
      <c r="H342" s="226"/>
    </row>
    <row r="343" spans="8:8" ht="13">
      <c r="H343" s="226"/>
    </row>
    <row r="344" spans="8:8" ht="13">
      <c r="H344" s="226"/>
    </row>
    <row r="345" spans="8:8" ht="13">
      <c r="H345" s="226"/>
    </row>
    <row r="346" spans="8:8" ht="13">
      <c r="H346" s="226"/>
    </row>
    <row r="347" spans="8:8" ht="13">
      <c r="H347" s="226"/>
    </row>
    <row r="348" spans="8:8" ht="13">
      <c r="H348" s="226"/>
    </row>
    <row r="349" spans="8:8" ht="13">
      <c r="H349" s="226"/>
    </row>
    <row r="350" spans="8:8" ht="13">
      <c r="H350" s="226"/>
    </row>
    <row r="351" spans="8:8" ht="13">
      <c r="H351" s="226"/>
    </row>
    <row r="352" spans="8:8" ht="13">
      <c r="H352" s="226"/>
    </row>
    <row r="353" spans="8:8" ht="13">
      <c r="H353" s="226"/>
    </row>
    <row r="354" spans="8:8" ht="13">
      <c r="H354" s="226"/>
    </row>
    <row r="355" spans="8:8" ht="13">
      <c r="H355" s="226"/>
    </row>
    <row r="356" spans="8:8" ht="13">
      <c r="H356" s="226"/>
    </row>
    <row r="357" spans="8:8" ht="13">
      <c r="H357" s="226"/>
    </row>
    <row r="358" spans="8:8" ht="13">
      <c r="H358" s="226"/>
    </row>
    <row r="359" spans="8:8" ht="13">
      <c r="H359" s="226"/>
    </row>
    <row r="360" spans="8:8" ht="13">
      <c r="H360" s="226"/>
    </row>
    <row r="361" spans="8:8" ht="13">
      <c r="H361" s="226"/>
    </row>
    <row r="362" spans="8:8" ht="13">
      <c r="H362" s="226"/>
    </row>
    <row r="363" spans="8:8" ht="13">
      <c r="H363" s="226"/>
    </row>
    <row r="364" spans="8:8" ht="13">
      <c r="H364" s="226"/>
    </row>
    <row r="365" spans="8:8" ht="13">
      <c r="H365" s="226"/>
    </row>
    <row r="366" spans="8:8" ht="13">
      <c r="H366" s="226"/>
    </row>
    <row r="367" spans="8:8" ht="13">
      <c r="H367" s="226"/>
    </row>
    <row r="368" spans="8:8" ht="13">
      <c r="H368" s="226"/>
    </row>
    <row r="369" spans="8:8" ht="13">
      <c r="H369" s="226"/>
    </row>
    <row r="370" spans="8:8" ht="13">
      <c r="H370" s="226"/>
    </row>
    <row r="371" spans="8:8" ht="13">
      <c r="H371" s="226"/>
    </row>
    <row r="372" spans="8:8" ht="13">
      <c r="H372" s="226"/>
    </row>
    <row r="373" spans="8:8" ht="13">
      <c r="H373" s="226"/>
    </row>
    <row r="374" spans="8:8" ht="13">
      <c r="H374" s="226"/>
    </row>
    <row r="375" spans="8:8" ht="13">
      <c r="H375" s="226"/>
    </row>
    <row r="376" spans="8:8" ht="13">
      <c r="H376" s="226"/>
    </row>
    <row r="377" spans="8:8" ht="13">
      <c r="H377" s="226"/>
    </row>
    <row r="378" spans="8:8" ht="13">
      <c r="H378" s="226"/>
    </row>
    <row r="379" spans="8:8" ht="13">
      <c r="H379" s="226"/>
    </row>
    <row r="380" spans="8:8" ht="13">
      <c r="H380" s="226"/>
    </row>
    <row r="381" spans="8:8" ht="13">
      <c r="H381" s="226"/>
    </row>
    <row r="382" spans="8:8" ht="13">
      <c r="H382" s="226"/>
    </row>
    <row r="383" spans="8:8" ht="13">
      <c r="H383" s="226"/>
    </row>
    <row r="384" spans="8:8" ht="13">
      <c r="H384" s="226"/>
    </row>
    <row r="385" spans="8:8" ht="13">
      <c r="H385" s="226"/>
    </row>
    <row r="386" spans="8:8" ht="13">
      <c r="H386" s="226"/>
    </row>
    <row r="387" spans="8:8" ht="13">
      <c r="H387" s="226"/>
    </row>
    <row r="388" spans="8:8" ht="13">
      <c r="H388" s="226"/>
    </row>
    <row r="389" spans="8:8" ht="13">
      <c r="H389" s="226"/>
    </row>
    <row r="390" spans="8:8" ht="13">
      <c r="H390" s="226"/>
    </row>
    <row r="391" spans="8:8" ht="13">
      <c r="H391" s="226"/>
    </row>
    <row r="392" spans="8:8" ht="13">
      <c r="H392" s="226"/>
    </row>
    <row r="393" spans="8:8" ht="13">
      <c r="H393" s="226"/>
    </row>
    <row r="394" spans="8:8" ht="13">
      <c r="H394" s="226"/>
    </row>
    <row r="395" spans="8:8" ht="13">
      <c r="H395" s="226"/>
    </row>
    <row r="396" spans="8:8" ht="13">
      <c r="H396" s="226"/>
    </row>
    <row r="397" spans="8:8" ht="13">
      <c r="H397" s="226"/>
    </row>
    <row r="398" spans="8:8" ht="13">
      <c r="H398" s="226"/>
    </row>
    <row r="399" spans="8:8" ht="13">
      <c r="H399" s="226"/>
    </row>
    <row r="400" spans="8:8" ht="13">
      <c r="H400" s="226"/>
    </row>
    <row r="401" spans="8:8" ht="13">
      <c r="H401" s="226"/>
    </row>
    <row r="402" spans="8:8" ht="13">
      <c r="H402" s="226"/>
    </row>
    <row r="403" spans="8:8" ht="13">
      <c r="H403" s="226"/>
    </row>
    <row r="404" spans="8:8" ht="13">
      <c r="H404" s="226"/>
    </row>
    <row r="405" spans="8:8" ht="13">
      <c r="H405" s="226"/>
    </row>
    <row r="406" spans="8:8" ht="13">
      <c r="H406" s="226"/>
    </row>
    <row r="407" spans="8:8" ht="13">
      <c r="H407" s="226"/>
    </row>
    <row r="408" spans="8:8" ht="13">
      <c r="H408" s="226"/>
    </row>
    <row r="409" spans="8:8" ht="13">
      <c r="H409" s="226"/>
    </row>
    <row r="410" spans="8:8" ht="13">
      <c r="H410" s="226"/>
    </row>
    <row r="411" spans="8:8" ht="13">
      <c r="H411" s="226"/>
    </row>
    <row r="412" spans="8:8" ht="13">
      <c r="H412" s="226"/>
    </row>
    <row r="413" spans="8:8" ht="13">
      <c r="H413" s="226"/>
    </row>
    <row r="414" spans="8:8" ht="13">
      <c r="H414" s="226"/>
    </row>
    <row r="415" spans="8:8" ht="13">
      <c r="H415" s="226"/>
    </row>
    <row r="416" spans="8:8" ht="13">
      <c r="H416" s="226"/>
    </row>
    <row r="417" spans="8:8" ht="13">
      <c r="H417" s="226"/>
    </row>
    <row r="418" spans="8:8" ht="13">
      <c r="H418" s="226"/>
    </row>
    <row r="419" spans="8:8" ht="13">
      <c r="H419" s="226"/>
    </row>
    <row r="420" spans="8:8" ht="13">
      <c r="H420" s="226"/>
    </row>
    <row r="421" spans="8:8" ht="13">
      <c r="H421" s="226"/>
    </row>
    <row r="422" spans="8:8" ht="13">
      <c r="H422" s="226"/>
    </row>
    <row r="423" spans="8:8" ht="13">
      <c r="H423" s="226"/>
    </row>
    <row r="424" spans="8:8" ht="13">
      <c r="H424" s="226"/>
    </row>
    <row r="425" spans="8:8" ht="13">
      <c r="H425" s="226"/>
    </row>
    <row r="426" spans="8:8" ht="13">
      <c r="H426" s="226"/>
    </row>
    <row r="427" spans="8:8" ht="13">
      <c r="H427" s="226"/>
    </row>
    <row r="428" spans="8:8" ht="13">
      <c r="H428" s="226"/>
    </row>
    <row r="429" spans="8:8" ht="13">
      <c r="H429" s="226"/>
    </row>
    <row r="430" spans="8:8" ht="13">
      <c r="H430" s="226"/>
    </row>
    <row r="431" spans="8:8" ht="13">
      <c r="H431" s="226"/>
    </row>
    <row r="432" spans="8:8" ht="13">
      <c r="H432" s="226"/>
    </row>
    <row r="433" spans="8:8" ht="13">
      <c r="H433" s="226"/>
    </row>
    <row r="434" spans="8:8" ht="13">
      <c r="H434" s="226"/>
    </row>
    <row r="435" spans="8:8" ht="13">
      <c r="H435" s="226"/>
    </row>
    <row r="436" spans="8:8" ht="13">
      <c r="H436" s="226"/>
    </row>
    <row r="437" spans="8:8" ht="13">
      <c r="H437" s="226"/>
    </row>
    <row r="438" spans="8:8" ht="13">
      <c r="H438" s="226"/>
    </row>
    <row r="439" spans="8:8" ht="13">
      <c r="H439" s="226"/>
    </row>
    <row r="440" spans="8:8" ht="13">
      <c r="H440" s="226"/>
    </row>
    <row r="441" spans="8:8" ht="13">
      <c r="H441" s="226"/>
    </row>
    <row r="442" spans="8:8" ht="13">
      <c r="H442" s="226"/>
    </row>
    <row r="443" spans="8:8" ht="13">
      <c r="H443" s="226"/>
    </row>
    <row r="444" spans="8:8" ht="13">
      <c r="H444" s="226"/>
    </row>
    <row r="445" spans="8:8" ht="13">
      <c r="H445" s="226"/>
    </row>
    <row r="446" spans="8:8" ht="13">
      <c r="H446" s="226"/>
    </row>
    <row r="447" spans="8:8" ht="13">
      <c r="H447" s="226"/>
    </row>
    <row r="448" spans="8:8" ht="13">
      <c r="H448" s="226"/>
    </row>
    <row r="449" spans="8:8" ht="13">
      <c r="H449" s="226"/>
    </row>
    <row r="450" spans="8:8" ht="13">
      <c r="H450" s="226"/>
    </row>
    <row r="451" spans="8:8" ht="13">
      <c r="H451" s="226"/>
    </row>
    <row r="452" spans="8:8" ht="13">
      <c r="H452" s="226"/>
    </row>
    <row r="453" spans="8:8" ht="13">
      <c r="H453" s="226"/>
    </row>
    <row r="454" spans="8:8" ht="13">
      <c r="H454" s="226"/>
    </row>
    <row r="455" spans="8:8" ht="13">
      <c r="H455" s="226"/>
    </row>
    <row r="456" spans="8:8" ht="13">
      <c r="H456" s="226"/>
    </row>
    <row r="457" spans="8:8" ht="13">
      <c r="H457" s="226"/>
    </row>
    <row r="458" spans="8:8" ht="13">
      <c r="H458" s="226"/>
    </row>
    <row r="459" spans="8:8" ht="13">
      <c r="H459" s="226"/>
    </row>
    <row r="460" spans="8:8" ht="13">
      <c r="H460" s="226"/>
    </row>
    <row r="461" spans="8:8" ht="13">
      <c r="H461" s="226"/>
    </row>
    <row r="462" spans="8:8" ht="13">
      <c r="H462" s="226"/>
    </row>
    <row r="463" spans="8:8" ht="13">
      <c r="H463" s="226"/>
    </row>
    <row r="464" spans="8:8" ht="13">
      <c r="H464" s="226"/>
    </row>
    <row r="465" spans="8:8" ht="13">
      <c r="H465" s="226"/>
    </row>
    <row r="466" spans="8:8" ht="13">
      <c r="H466" s="226"/>
    </row>
    <row r="467" spans="8:8" ht="13">
      <c r="H467" s="226"/>
    </row>
    <row r="468" spans="8:8" ht="13">
      <c r="H468" s="226"/>
    </row>
    <row r="469" spans="8:8" ht="13">
      <c r="H469" s="226"/>
    </row>
    <row r="470" spans="8:8" ht="13">
      <c r="H470" s="226"/>
    </row>
    <row r="471" spans="8:8" ht="13">
      <c r="H471" s="226"/>
    </row>
    <row r="472" spans="8:8" ht="13">
      <c r="H472" s="226"/>
    </row>
    <row r="473" spans="8:8" ht="13">
      <c r="H473" s="226"/>
    </row>
    <row r="474" spans="8:8" ht="13">
      <c r="H474" s="226"/>
    </row>
    <row r="475" spans="8:8" ht="13">
      <c r="H475" s="226"/>
    </row>
    <row r="476" spans="8:8" ht="13">
      <c r="H476" s="226"/>
    </row>
    <row r="477" spans="8:8" ht="13">
      <c r="H477" s="226"/>
    </row>
    <row r="478" spans="8:8" ht="13">
      <c r="H478" s="226"/>
    </row>
    <row r="479" spans="8:8" ht="13">
      <c r="H479" s="226"/>
    </row>
    <row r="480" spans="8:8" ht="13">
      <c r="H480" s="226"/>
    </row>
    <row r="481" spans="8:8" ht="13">
      <c r="H481" s="226"/>
    </row>
    <row r="482" spans="8:8" ht="13">
      <c r="H482" s="226"/>
    </row>
    <row r="483" spans="8:8" ht="13">
      <c r="H483" s="226"/>
    </row>
    <row r="484" spans="8:8" ht="13">
      <c r="H484" s="226"/>
    </row>
    <row r="485" spans="8:8" ht="13">
      <c r="H485" s="226"/>
    </row>
    <row r="486" spans="8:8" ht="13">
      <c r="H486" s="226"/>
    </row>
    <row r="487" spans="8:8" ht="13">
      <c r="H487" s="226"/>
    </row>
    <row r="488" spans="8:8" ht="13">
      <c r="H488" s="226"/>
    </row>
    <row r="489" spans="8:8" ht="13">
      <c r="H489" s="226"/>
    </row>
    <row r="490" spans="8:8" ht="13">
      <c r="H490" s="226"/>
    </row>
    <row r="491" spans="8:8" ht="13">
      <c r="H491" s="226"/>
    </row>
    <row r="492" spans="8:8" ht="13">
      <c r="H492" s="226"/>
    </row>
    <row r="493" spans="8:8" ht="13">
      <c r="H493" s="226"/>
    </row>
    <row r="494" spans="8:8" ht="13">
      <c r="H494" s="226"/>
    </row>
    <row r="495" spans="8:8" ht="13">
      <c r="H495" s="226"/>
    </row>
    <row r="496" spans="8:8" ht="13">
      <c r="H496" s="226"/>
    </row>
    <row r="497" spans="8:8" ht="13">
      <c r="H497" s="226"/>
    </row>
    <row r="498" spans="8:8" ht="13">
      <c r="H498" s="226"/>
    </row>
    <row r="499" spans="8:8" ht="13">
      <c r="H499" s="226"/>
    </row>
    <row r="500" spans="8:8" ht="13">
      <c r="H500" s="226"/>
    </row>
    <row r="501" spans="8:8" ht="13">
      <c r="H501" s="226"/>
    </row>
    <row r="502" spans="8:8" ht="13">
      <c r="H502" s="226"/>
    </row>
    <row r="503" spans="8:8" ht="13">
      <c r="H503" s="226"/>
    </row>
    <row r="504" spans="8:8" ht="13">
      <c r="H504" s="226"/>
    </row>
    <row r="505" spans="8:8" ht="13">
      <c r="H505" s="226"/>
    </row>
    <row r="506" spans="8:8" ht="13">
      <c r="H506" s="226"/>
    </row>
    <row r="507" spans="8:8" ht="13">
      <c r="H507" s="226"/>
    </row>
    <row r="508" spans="8:8" ht="13">
      <c r="H508" s="226"/>
    </row>
    <row r="509" spans="8:8" ht="13">
      <c r="H509" s="226"/>
    </row>
    <row r="510" spans="8:8" ht="13">
      <c r="H510" s="226"/>
    </row>
    <row r="511" spans="8:8" ht="13">
      <c r="H511" s="226"/>
    </row>
    <row r="512" spans="8:8" ht="13">
      <c r="H512" s="226"/>
    </row>
    <row r="513" spans="8:8" ht="13">
      <c r="H513" s="226"/>
    </row>
    <row r="514" spans="8:8" ht="13">
      <c r="H514" s="226"/>
    </row>
    <row r="515" spans="8:8" ht="13">
      <c r="H515" s="226"/>
    </row>
    <row r="516" spans="8:8" ht="13">
      <c r="H516" s="226"/>
    </row>
    <row r="517" spans="8:8" ht="13">
      <c r="H517" s="226"/>
    </row>
    <row r="518" spans="8:8" ht="13">
      <c r="H518" s="226"/>
    </row>
    <row r="519" spans="8:8" ht="13">
      <c r="H519" s="226"/>
    </row>
    <row r="520" spans="8:8" ht="13">
      <c r="H520" s="226"/>
    </row>
    <row r="521" spans="8:8" ht="13">
      <c r="H521" s="226"/>
    </row>
    <row r="522" spans="8:8" ht="13">
      <c r="H522" s="226"/>
    </row>
    <row r="523" spans="8:8" ht="13">
      <c r="H523" s="226"/>
    </row>
    <row r="524" spans="8:8" ht="13">
      <c r="H524" s="226"/>
    </row>
    <row r="525" spans="8:8" ht="13">
      <c r="H525" s="226"/>
    </row>
    <row r="526" spans="8:8" ht="13">
      <c r="H526" s="226"/>
    </row>
    <row r="527" spans="8:8" ht="13">
      <c r="H527" s="226"/>
    </row>
    <row r="528" spans="8:8" ht="13">
      <c r="H528" s="226"/>
    </row>
    <row r="529" spans="8:8" ht="13">
      <c r="H529" s="226"/>
    </row>
    <row r="530" spans="8:8" ht="13">
      <c r="H530" s="226"/>
    </row>
    <row r="531" spans="8:8" ht="13">
      <c r="H531" s="226"/>
    </row>
    <row r="532" spans="8:8" ht="13">
      <c r="H532" s="226"/>
    </row>
    <row r="533" spans="8:8" ht="13">
      <c r="H533" s="226"/>
    </row>
    <row r="534" spans="8:8" ht="13">
      <c r="H534" s="226"/>
    </row>
    <row r="535" spans="8:8" ht="13">
      <c r="H535" s="226"/>
    </row>
    <row r="536" spans="8:8" ht="13">
      <c r="H536" s="226"/>
    </row>
    <row r="537" spans="8:8" ht="13">
      <c r="H537" s="226"/>
    </row>
    <row r="538" spans="8:8" ht="13">
      <c r="H538" s="226"/>
    </row>
    <row r="539" spans="8:8" ht="13">
      <c r="H539" s="226"/>
    </row>
    <row r="540" spans="8:8" ht="13">
      <c r="H540" s="226"/>
    </row>
    <row r="541" spans="8:8" ht="13">
      <c r="H541" s="226"/>
    </row>
    <row r="542" spans="8:8" ht="13">
      <c r="H542" s="226"/>
    </row>
    <row r="543" spans="8:8" ht="13">
      <c r="H543" s="226"/>
    </row>
    <row r="544" spans="8:8" ht="13">
      <c r="H544" s="226"/>
    </row>
    <row r="545" spans="8:8" ht="13">
      <c r="H545" s="226"/>
    </row>
    <row r="546" spans="8:8" ht="13">
      <c r="H546" s="226"/>
    </row>
    <row r="547" spans="8:8" ht="13">
      <c r="H547" s="226"/>
    </row>
    <row r="548" spans="8:8" ht="13">
      <c r="H548" s="226"/>
    </row>
    <row r="549" spans="8:8" ht="13">
      <c r="H549" s="226"/>
    </row>
    <row r="550" spans="8:8" ht="13">
      <c r="H550" s="226"/>
    </row>
    <row r="551" spans="8:8" ht="13">
      <c r="H551" s="226"/>
    </row>
    <row r="552" spans="8:8" ht="13">
      <c r="H552" s="226"/>
    </row>
    <row r="553" spans="8:8" ht="13">
      <c r="H553" s="226"/>
    </row>
    <row r="554" spans="8:8" ht="13">
      <c r="H554" s="226"/>
    </row>
    <row r="555" spans="8:8" ht="13">
      <c r="H555" s="226"/>
    </row>
    <row r="556" spans="8:8" ht="13">
      <c r="H556" s="226"/>
    </row>
    <row r="557" spans="8:8" ht="13">
      <c r="H557" s="226"/>
    </row>
    <row r="558" spans="8:8" ht="13">
      <c r="H558" s="226"/>
    </row>
    <row r="559" spans="8:8" ht="13">
      <c r="H559" s="226"/>
    </row>
    <row r="560" spans="8:8" ht="13">
      <c r="H560" s="226"/>
    </row>
    <row r="561" spans="8:8" ht="13">
      <c r="H561" s="226"/>
    </row>
    <row r="562" spans="8:8" ht="13">
      <c r="H562" s="226"/>
    </row>
    <row r="563" spans="8:8" ht="13">
      <c r="H563" s="226"/>
    </row>
    <row r="564" spans="8:8" ht="13">
      <c r="H564" s="226"/>
    </row>
    <row r="565" spans="8:8" ht="13">
      <c r="H565" s="226"/>
    </row>
    <row r="566" spans="8:8" ht="13">
      <c r="H566" s="226"/>
    </row>
    <row r="567" spans="8:8" ht="13">
      <c r="H567" s="226"/>
    </row>
    <row r="568" spans="8:8" ht="13">
      <c r="H568" s="226"/>
    </row>
    <row r="569" spans="8:8" ht="13">
      <c r="H569" s="226"/>
    </row>
    <row r="570" spans="8:8" ht="13">
      <c r="H570" s="226"/>
    </row>
    <row r="571" spans="8:8" ht="13">
      <c r="H571" s="226"/>
    </row>
    <row r="572" spans="8:8" ht="13">
      <c r="H572" s="226"/>
    </row>
    <row r="573" spans="8:8" ht="13">
      <c r="H573" s="226"/>
    </row>
    <row r="574" spans="8:8" ht="13">
      <c r="H574" s="226"/>
    </row>
    <row r="575" spans="8:8" ht="13">
      <c r="H575" s="226"/>
    </row>
    <row r="576" spans="8:8" ht="13">
      <c r="H576" s="226"/>
    </row>
    <row r="577" spans="8:8" ht="13">
      <c r="H577" s="226"/>
    </row>
    <row r="578" spans="8:8" ht="13">
      <c r="H578" s="226"/>
    </row>
    <row r="579" spans="8:8" ht="13">
      <c r="H579" s="226"/>
    </row>
    <row r="580" spans="8:8" ht="13">
      <c r="H580" s="226"/>
    </row>
    <row r="581" spans="8:8" ht="13">
      <c r="H581" s="226"/>
    </row>
    <row r="582" spans="8:8" ht="13">
      <c r="H582" s="226"/>
    </row>
    <row r="583" spans="8:8" ht="13">
      <c r="H583" s="226"/>
    </row>
    <row r="584" spans="8:8" ht="13">
      <c r="H584" s="226"/>
    </row>
    <row r="585" spans="8:8" ht="13">
      <c r="H585" s="226"/>
    </row>
    <row r="586" spans="8:8" ht="13">
      <c r="H586" s="226"/>
    </row>
    <row r="587" spans="8:8" ht="13">
      <c r="H587" s="226"/>
    </row>
    <row r="588" spans="8:8" ht="13">
      <c r="H588" s="226"/>
    </row>
    <row r="589" spans="8:8" ht="13">
      <c r="H589" s="226"/>
    </row>
    <row r="590" spans="8:8" ht="13">
      <c r="H590" s="226"/>
    </row>
    <row r="591" spans="8:8" ht="13">
      <c r="H591" s="226"/>
    </row>
    <row r="592" spans="8:8" ht="13">
      <c r="H592" s="226"/>
    </row>
    <row r="593" spans="8:8" ht="13">
      <c r="H593" s="226"/>
    </row>
    <row r="594" spans="8:8" ht="13">
      <c r="H594" s="226"/>
    </row>
    <row r="595" spans="8:8" ht="13">
      <c r="H595" s="226"/>
    </row>
    <row r="596" spans="8:8" ht="13">
      <c r="H596" s="226"/>
    </row>
    <row r="597" spans="8:8" ht="13">
      <c r="H597" s="226"/>
    </row>
    <row r="598" spans="8:8" ht="13">
      <c r="H598" s="226"/>
    </row>
    <row r="599" spans="8:8" ht="13">
      <c r="H599" s="226"/>
    </row>
    <row r="600" spans="8:8" ht="13">
      <c r="H600" s="226"/>
    </row>
    <row r="601" spans="8:8" ht="13">
      <c r="H601" s="226"/>
    </row>
    <row r="602" spans="8:8" ht="13">
      <c r="H602" s="226"/>
    </row>
    <row r="603" spans="8:8" ht="13">
      <c r="H603" s="226"/>
    </row>
    <row r="604" spans="8:8" ht="13">
      <c r="H604" s="226"/>
    </row>
    <row r="605" spans="8:8" ht="13">
      <c r="H605" s="226"/>
    </row>
    <row r="606" spans="8:8" ht="13">
      <c r="H606" s="226"/>
    </row>
    <row r="607" spans="8:8" ht="13">
      <c r="H607" s="226"/>
    </row>
    <row r="608" spans="8:8" ht="13">
      <c r="H608" s="226"/>
    </row>
    <row r="609" spans="8:8" ht="13">
      <c r="H609" s="226"/>
    </row>
    <row r="610" spans="8:8" ht="13">
      <c r="H610" s="226"/>
    </row>
    <row r="611" spans="8:8" ht="13">
      <c r="H611" s="226"/>
    </row>
    <row r="612" spans="8:8" ht="13">
      <c r="H612" s="226"/>
    </row>
    <row r="613" spans="8:8" ht="13">
      <c r="H613" s="226"/>
    </row>
    <row r="614" spans="8:8" ht="13">
      <c r="H614" s="226"/>
    </row>
    <row r="615" spans="8:8" ht="13">
      <c r="H615" s="226"/>
    </row>
    <row r="616" spans="8:8" ht="13">
      <c r="H616" s="226"/>
    </row>
    <row r="617" spans="8:8" ht="13">
      <c r="H617" s="226"/>
    </row>
    <row r="618" spans="8:8" ht="13">
      <c r="H618" s="226"/>
    </row>
    <row r="619" spans="8:8" ht="13">
      <c r="H619" s="226"/>
    </row>
    <row r="620" spans="8:8" ht="13">
      <c r="H620" s="226"/>
    </row>
    <row r="621" spans="8:8" ht="13">
      <c r="H621" s="226"/>
    </row>
    <row r="622" spans="8:8" ht="13">
      <c r="H622" s="226"/>
    </row>
    <row r="623" spans="8:8" ht="13">
      <c r="H623" s="226"/>
    </row>
    <row r="624" spans="8:8" ht="13">
      <c r="H624" s="226"/>
    </row>
    <row r="625" spans="8:8" ht="13">
      <c r="H625" s="226"/>
    </row>
    <row r="626" spans="8:8" ht="13">
      <c r="H626" s="226"/>
    </row>
    <row r="627" spans="8:8" ht="13">
      <c r="H627" s="226"/>
    </row>
    <row r="628" spans="8:8" ht="13">
      <c r="H628" s="226"/>
    </row>
    <row r="629" spans="8:8" ht="13">
      <c r="H629" s="226"/>
    </row>
    <row r="630" spans="8:8" ht="13">
      <c r="H630" s="226"/>
    </row>
    <row r="631" spans="8:8" ht="13">
      <c r="H631" s="226"/>
    </row>
    <row r="632" spans="8:8" ht="13">
      <c r="H632" s="226"/>
    </row>
    <row r="633" spans="8:8" ht="13">
      <c r="H633" s="226"/>
    </row>
    <row r="634" spans="8:8" ht="13">
      <c r="H634" s="226"/>
    </row>
    <row r="635" spans="8:8" ht="13">
      <c r="H635" s="226"/>
    </row>
    <row r="636" spans="8:8" ht="13">
      <c r="H636" s="226"/>
    </row>
    <row r="637" spans="8:8" ht="13">
      <c r="H637" s="226"/>
    </row>
    <row r="638" spans="8:8" ht="13">
      <c r="H638" s="226"/>
    </row>
    <row r="639" spans="8:8" ht="13">
      <c r="H639" s="226"/>
    </row>
    <row r="640" spans="8:8" ht="13">
      <c r="H640" s="226"/>
    </row>
    <row r="641" spans="8:8" ht="13">
      <c r="H641" s="226"/>
    </row>
    <row r="642" spans="8:8" ht="13">
      <c r="H642" s="226"/>
    </row>
    <row r="643" spans="8:8" ht="13">
      <c r="H643" s="226"/>
    </row>
    <row r="644" spans="8:8" ht="13">
      <c r="H644" s="226"/>
    </row>
    <row r="645" spans="8:8" ht="13">
      <c r="H645" s="226"/>
    </row>
    <row r="646" spans="8:8" ht="13">
      <c r="H646" s="226"/>
    </row>
    <row r="647" spans="8:8" ht="13">
      <c r="H647" s="226"/>
    </row>
    <row r="648" spans="8:8" ht="13">
      <c r="H648" s="226"/>
    </row>
    <row r="649" spans="8:8" ht="13">
      <c r="H649" s="226"/>
    </row>
    <row r="650" spans="8:8" ht="13">
      <c r="H650" s="226"/>
    </row>
    <row r="651" spans="8:8" ht="13">
      <c r="H651" s="226"/>
    </row>
    <row r="652" spans="8:8" ht="13">
      <c r="H652" s="226"/>
    </row>
    <row r="653" spans="8:8" ht="13">
      <c r="H653" s="226"/>
    </row>
    <row r="654" spans="8:8" ht="13">
      <c r="H654" s="226"/>
    </row>
    <row r="655" spans="8:8" ht="13">
      <c r="H655" s="226"/>
    </row>
    <row r="656" spans="8:8" ht="13">
      <c r="H656" s="226"/>
    </row>
    <row r="657" spans="8:8" ht="13">
      <c r="H657" s="226"/>
    </row>
    <row r="658" spans="8:8" ht="13">
      <c r="H658" s="226"/>
    </row>
    <row r="659" spans="8:8" ht="13">
      <c r="H659" s="226"/>
    </row>
    <row r="660" spans="8:8" ht="13">
      <c r="H660" s="226"/>
    </row>
    <row r="661" spans="8:8" ht="13">
      <c r="H661" s="226"/>
    </row>
    <row r="662" spans="8:8" ht="13">
      <c r="H662" s="226"/>
    </row>
    <row r="663" spans="8:8" ht="13">
      <c r="H663" s="226"/>
    </row>
    <row r="664" spans="8:8" ht="13">
      <c r="H664" s="226"/>
    </row>
    <row r="665" spans="8:8" ht="13">
      <c r="H665" s="226"/>
    </row>
    <row r="666" spans="8:8" ht="13">
      <c r="H666" s="226"/>
    </row>
    <row r="667" spans="8:8" ht="13">
      <c r="H667" s="226"/>
    </row>
    <row r="668" spans="8:8" ht="13">
      <c r="H668" s="226"/>
    </row>
    <row r="669" spans="8:8" ht="13">
      <c r="H669" s="226"/>
    </row>
    <row r="670" spans="8:8" ht="13">
      <c r="H670" s="226"/>
    </row>
    <row r="671" spans="8:8" ht="13">
      <c r="H671" s="226"/>
    </row>
    <row r="672" spans="8:8" ht="13">
      <c r="H672" s="226"/>
    </row>
    <row r="673" spans="8:8" ht="13">
      <c r="H673" s="226"/>
    </row>
    <row r="674" spans="8:8" ht="13">
      <c r="H674" s="226"/>
    </row>
    <row r="675" spans="8:8" ht="13">
      <c r="H675" s="226"/>
    </row>
    <row r="676" spans="8:8" ht="13">
      <c r="H676" s="226"/>
    </row>
    <row r="677" spans="8:8" ht="13">
      <c r="H677" s="226"/>
    </row>
    <row r="678" spans="8:8" ht="13">
      <c r="H678" s="226"/>
    </row>
    <row r="679" spans="8:8" ht="13">
      <c r="H679" s="226"/>
    </row>
    <row r="680" spans="8:8" ht="13">
      <c r="H680" s="226"/>
    </row>
    <row r="681" spans="8:8" ht="13">
      <c r="H681" s="226"/>
    </row>
    <row r="682" spans="8:8" ht="13">
      <c r="H682" s="226"/>
    </row>
    <row r="683" spans="8:8" ht="13">
      <c r="H683" s="226"/>
    </row>
    <row r="684" spans="8:8" ht="13">
      <c r="H684" s="226"/>
    </row>
    <row r="685" spans="8:8" ht="13">
      <c r="H685" s="226"/>
    </row>
    <row r="686" spans="8:8" ht="13">
      <c r="H686" s="226"/>
    </row>
    <row r="687" spans="8:8" ht="13">
      <c r="H687" s="226"/>
    </row>
    <row r="688" spans="8:8" ht="13">
      <c r="H688" s="226"/>
    </row>
    <row r="689" spans="8:8" ht="13">
      <c r="H689" s="226"/>
    </row>
    <row r="690" spans="8:8" ht="13">
      <c r="H690" s="226"/>
    </row>
    <row r="691" spans="8:8" ht="13">
      <c r="H691" s="226"/>
    </row>
    <row r="692" spans="8:8" ht="13">
      <c r="H692" s="226"/>
    </row>
    <row r="693" spans="8:8" ht="13">
      <c r="H693" s="226"/>
    </row>
    <row r="694" spans="8:8" ht="13">
      <c r="H694" s="226"/>
    </row>
    <row r="695" spans="8:8" ht="13">
      <c r="H695" s="226"/>
    </row>
    <row r="696" spans="8:8" ht="13">
      <c r="H696" s="226"/>
    </row>
    <row r="697" spans="8:8" ht="13">
      <c r="H697" s="226"/>
    </row>
    <row r="698" spans="8:8" ht="13">
      <c r="H698" s="226"/>
    </row>
    <row r="699" spans="8:8" ht="13">
      <c r="H699" s="226"/>
    </row>
    <row r="700" spans="8:8" ht="13">
      <c r="H700" s="226"/>
    </row>
    <row r="701" spans="8:8" ht="13">
      <c r="H701" s="226"/>
    </row>
    <row r="702" spans="8:8" ht="13">
      <c r="H702" s="226"/>
    </row>
    <row r="703" spans="8:8" ht="13">
      <c r="H703" s="226"/>
    </row>
    <row r="704" spans="8:8" ht="13">
      <c r="H704" s="226"/>
    </row>
    <row r="705" spans="8:8" ht="13">
      <c r="H705" s="226"/>
    </row>
    <row r="706" spans="8:8" ht="13">
      <c r="H706" s="226"/>
    </row>
    <row r="707" spans="8:8" ht="13">
      <c r="H707" s="226"/>
    </row>
    <row r="708" spans="8:8" ht="13">
      <c r="H708" s="226"/>
    </row>
    <row r="709" spans="8:8" ht="13">
      <c r="H709" s="226"/>
    </row>
    <row r="710" spans="8:8" ht="13">
      <c r="H710" s="226"/>
    </row>
    <row r="711" spans="8:8" ht="13">
      <c r="H711" s="226"/>
    </row>
    <row r="712" spans="8:8" ht="13">
      <c r="H712" s="226"/>
    </row>
    <row r="713" spans="8:8" ht="13">
      <c r="H713" s="226"/>
    </row>
    <row r="714" spans="8:8" ht="13">
      <c r="H714" s="226"/>
    </row>
    <row r="715" spans="8:8" ht="13">
      <c r="H715" s="226"/>
    </row>
    <row r="716" spans="8:8" ht="13">
      <c r="H716" s="226"/>
    </row>
    <row r="717" spans="8:8" ht="13">
      <c r="H717" s="226"/>
    </row>
    <row r="718" spans="8:8" ht="13">
      <c r="H718" s="226"/>
    </row>
    <row r="719" spans="8:8" ht="13">
      <c r="H719" s="226"/>
    </row>
    <row r="720" spans="8:8" ht="13">
      <c r="H720" s="226"/>
    </row>
    <row r="721" spans="8:8" ht="13">
      <c r="H721" s="226"/>
    </row>
    <row r="722" spans="8:8" ht="13">
      <c r="H722" s="226"/>
    </row>
    <row r="723" spans="8:8" ht="13">
      <c r="H723" s="226"/>
    </row>
    <row r="724" spans="8:8" ht="13">
      <c r="H724" s="226"/>
    </row>
    <row r="725" spans="8:8" ht="13">
      <c r="H725" s="226"/>
    </row>
    <row r="726" spans="8:8" ht="13">
      <c r="H726" s="226"/>
    </row>
    <row r="727" spans="8:8" ht="13">
      <c r="H727" s="226"/>
    </row>
    <row r="728" spans="8:8" ht="13">
      <c r="H728" s="226"/>
    </row>
    <row r="729" spans="8:8" ht="13">
      <c r="H729" s="226"/>
    </row>
    <row r="730" spans="8:8" ht="13">
      <c r="H730" s="226"/>
    </row>
    <row r="731" spans="8:8" ht="13">
      <c r="H731" s="226"/>
    </row>
    <row r="732" spans="8:8" ht="13">
      <c r="H732" s="226"/>
    </row>
    <row r="733" spans="8:8" ht="13">
      <c r="H733" s="226"/>
    </row>
    <row r="734" spans="8:8" ht="13">
      <c r="H734" s="226"/>
    </row>
    <row r="735" spans="8:8" ht="13">
      <c r="H735" s="226"/>
    </row>
    <row r="736" spans="8:8" ht="13">
      <c r="H736" s="226"/>
    </row>
    <row r="737" spans="8:8" ht="13">
      <c r="H737" s="226"/>
    </row>
    <row r="738" spans="8:8" ht="13">
      <c r="H738" s="226"/>
    </row>
    <row r="739" spans="8:8" ht="13">
      <c r="H739" s="226"/>
    </row>
    <row r="740" spans="8:8" ht="13">
      <c r="H740" s="226"/>
    </row>
    <row r="741" spans="8:8" ht="13">
      <c r="H741" s="226"/>
    </row>
    <row r="742" spans="8:8" ht="13">
      <c r="H742" s="226"/>
    </row>
    <row r="743" spans="8:8" ht="13">
      <c r="H743" s="226"/>
    </row>
    <row r="744" spans="8:8" ht="13">
      <c r="H744" s="226"/>
    </row>
    <row r="745" spans="8:8" ht="13">
      <c r="H745" s="226"/>
    </row>
    <row r="746" spans="8:8" ht="13">
      <c r="H746" s="226"/>
    </row>
    <row r="747" spans="8:8" ht="13">
      <c r="H747" s="226"/>
    </row>
    <row r="748" spans="8:8" ht="13">
      <c r="H748" s="226"/>
    </row>
    <row r="749" spans="8:8" ht="13">
      <c r="H749" s="226"/>
    </row>
    <row r="750" spans="8:8" ht="13">
      <c r="H750" s="226"/>
    </row>
    <row r="751" spans="8:8" ht="13">
      <c r="H751" s="226"/>
    </row>
    <row r="752" spans="8:8" ht="13">
      <c r="H752" s="226"/>
    </row>
    <row r="753" spans="8:8" ht="13">
      <c r="H753" s="226"/>
    </row>
    <row r="754" spans="8:8" ht="13">
      <c r="H754" s="226"/>
    </row>
    <row r="755" spans="8:8" ht="13">
      <c r="H755" s="226"/>
    </row>
    <row r="756" spans="8:8" ht="13">
      <c r="H756" s="226"/>
    </row>
    <row r="757" spans="8:8" ht="13">
      <c r="H757" s="226"/>
    </row>
    <row r="758" spans="8:8" ht="13">
      <c r="H758" s="226"/>
    </row>
    <row r="759" spans="8:8" ht="13">
      <c r="H759" s="226"/>
    </row>
    <row r="760" spans="8:8" ht="13">
      <c r="H760" s="226"/>
    </row>
    <row r="761" spans="8:8" ht="13">
      <c r="H761" s="226"/>
    </row>
    <row r="762" spans="8:8" ht="13">
      <c r="H762" s="226"/>
    </row>
    <row r="763" spans="8:8" ht="13">
      <c r="H763" s="226"/>
    </row>
    <row r="764" spans="8:8" ht="13">
      <c r="H764" s="226"/>
    </row>
    <row r="765" spans="8:8" ht="13">
      <c r="H765" s="226"/>
    </row>
    <row r="766" spans="8:8" ht="13">
      <c r="H766" s="226"/>
    </row>
    <row r="767" spans="8:8" ht="13">
      <c r="H767" s="226"/>
    </row>
    <row r="768" spans="8:8" ht="13">
      <c r="H768" s="226"/>
    </row>
    <row r="769" spans="8:8" ht="13">
      <c r="H769" s="226"/>
    </row>
    <row r="770" spans="8:8" ht="13">
      <c r="H770" s="226"/>
    </row>
    <row r="771" spans="8:8" ht="13">
      <c r="H771" s="226"/>
    </row>
    <row r="772" spans="8:8" ht="13">
      <c r="H772" s="226"/>
    </row>
    <row r="773" spans="8:8" ht="13">
      <c r="H773" s="226"/>
    </row>
    <row r="774" spans="8:8" ht="13">
      <c r="H774" s="226"/>
    </row>
    <row r="775" spans="8:8" ht="13">
      <c r="H775" s="226"/>
    </row>
    <row r="776" spans="8:8" ht="13">
      <c r="H776" s="226"/>
    </row>
    <row r="777" spans="8:8" ht="13">
      <c r="H777" s="226"/>
    </row>
    <row r="778" spans="8:8" ht="13">
      <c r="H778" s="226"/>
    </row>
    <row r="779" spans="8:8" ht="13">
      <c r="H779" s="226"/>
    </row>
    <row r="780" spans="8:8" ht="13">
      <c r="H780" s="226"/>
    </row>
    <row r="781" spans="8:8" ht="13">
      <c r="H781" s="226"/>
    </row>
    <row r="782" spans="8:8" ht="13">
      <c r="H782" s="226"/>
    </row>
    <row r="783" spans="8:8" ht="13">
      <c r="H783" s="226"/>
    </row>
    <row r="784" spans="8:8" ht="13">
      <c r="H784" s="226"/>
    </row>
    <row r="785" spans="8:8" ht="13">
      <c r="H785" s="226"/>
    </row>
    <row r="786" spans="8:8" ht="13">
      <c r="H786" s="226"/>
    </row>
    <row r="787" spans="8:8" ht="13">
      <c r="H787" s="226"/>
    </row>
    <row r="788" spans="8:8" ht="13">
      <c r="H788" s="226"/>
    </row>
    <row r="789" spans="8:8" ht="13">
      <c r="H789" s="226"/>
    </row>
    <row r="790" spans="8:8" ht="13">
      <c r="H790" s="226"/>
    </row>
    <row r="791" spans="8:8" ht="13">
      <c r="H791" s="226"/>
    </row>
    <row r="792" spans="8:8" ht="13">
      <c r="H792" s="226"/>
    </row>
    <row r="793" spans="8:8" ht="13">
      <c r="H793" s="226"/>
    </row>
    <row r="794" spans="8:8" ht="13">
      <c r="H794" s="226"/>
    </row>
    <row r="795" spans="8:8" ht="13">
      <c r="H795" s="226"/>
    </row>
    <row r="796" spans="8:8" ht="13">
      <c r="H796" s="226"/>
    </row>
    <row r="797" spans="8:8" ht="13">
      <c r="H797" s="226"/>
    </row>
    <row r="798" spans="8:8" ht="13">
      <c r="H798" s="226"/>
    </row>
    <row r="799" spans="8:8" ht="13">
      <c r="H799" s="226"/>
    </row>
    <row r="800" spans="8:8" ht="13">
      <c r="H800" s="226"/>
    </row>
    <row r="801" spans="8:8" ht="13">
      <c r="H801" s="226"/>
    </row>
    <row r="802" spans="8:8" ht="13">
      <c r="H802" s="226"/>
    </row>
    <row r="803" spans="8:8" ht="13">
      <c r="H803" s="226"/>
    </row>
    <row r="804" spans="8:8" ht="13">
      <c r="H804" s="226"/>
    </row>
    <row r="805" spans="8:8" ht="13">
      <c r="H805" s="226"/>
    </row>
    <row r="806" spans="8:8" ht="13">
      <c r="H806" s="226"/>
    </row>
    <row r="807" spans="8:8" ht="13">
      <c r="H807" s="226"/>
    </row>
    <row r="808" spans="8:8" ht="13">
      <c r="H808" s="226"/>
    </row>
    <row r="809" spans="8:8" ht="13">
      <c r="H809" s="226"/>
    </row>
    <row r="810" spans="8:8" ht="13">
      <c r="H810" s="226"/>
    </row>
    <row r="811" spans="8:8" ht="13">
      <c r="H811" s="226"/>
    </row>
    <row r="812" spans="8:8" ht="13">
      <c r="H812" s="226"/>
    </row>
    <row r="813" spans="8:8" ht="13">
      <c r="H813" s="226"/>
    </row>
    <row r="814" spans="8:8" ht="13">
      <c r="H814" s="226"/>
    </row>
    <row r="815" spans="8:8" ht="13">
      <c r="H815" s="226"/>
    </row>
    <row r="816" spans="8:8" ht="13">
      <c r="H816" s="226"/>
    </row>
    <row r="817" spans="8:8" ht="13">
      <c r="H817" s="226"/>
    </row>
    <row r="818" spans="8:8" ht="13">
      <c r="H818" s="226"/>
    </row>
    <row r="819" spans="8:8" ht="13">
      <c r="H819" s="226"/>
    </row>
    <row r="820" spans="8:8" ht="13">
      <c r="H820" s="226"/>
    </row>
    <row r="821" spans="8:8" ht="13">
      <c r="H821" s="226"/>
    </row>
    <row r="822" spans="8:8" ht="13">
      <c r="H822" s="226"/>
    </row>
    <row r="823" spans="8:8" ht="13">
      <c r="H823" s="226"/>
    </row>
    <row r="824" spans="8:8" ht="13">
      <c r="H824" s="226"/>
    </row>
    <row r="825" spans="8:8" ht="13">
      <c r="H825" s="226"/>
    </row>
    <row r="826" spans="8:8" ht="13">
      <c r="H826" s="226"/>
    </row>
    <row r="827" spans="8:8" ht="13">
      <c r="H827" s="226"/>
    </row>
    <row r="828" spans="8:8" ht="13">
      <c r="H828" s="226"/>
    </row>
    <row r="829" spans="8:8" ht="13">
      <c r="H829" s="226"/>
    </row>
    <row r="830" spans="8:8" ht="13">
      <c r="H830" s="226"/>
    </row>
    <row r="831" spans="8:8" ht="13">
      <c r="H831" s="226"/>
    </row>
    <row r="832" spans="8:8" ht="13">
      <c r="H832" s="226"/>
    </row>
    <row r="833" spans="8:8" ht="13">
      <c r="H833" s="226"/>
    </row>
    <row r="834" spans="8:8" ht="13">
      <c r="H834" s="226"/>
    </row>
    <row r="835" spans="8:8" ht="13">
      <c r="H835" s="226"/>
    </row>
    <row r="836" spans="8:8" ht="13">
      <c r="H836" s="226"/>
    </row>
    <row r="837" spans="8:8" ht="13">
      <c r="H837" s="226"/>
    </row>
    <row r="838" spans="8:8" ht="13">
      <c r="H838" s="226"/>
    </row>
    <row r="839" spans="8:8" ht="13">
      <c r="H839" s="226"/>
    </row>
    <row r="840" spans="8:8" ht="13">
      <c r="H840" s="226"/>
    </row>
    <row r="841" spans="8:8" ht="13">
      <c r="H841" s="226"/>
    </row>
    <row r="842" spans="8:8" ht="13">
      <c r="H842" s="226"/>
    </row>
    <row r="843" spans="8:8" ht="13">
      <c r="H843" s="226"/>
    </row>
    <row r="844" spans="8:8" ht="13">
      <c r="H844" s="226"/>
    </row>
    <row r="845" spans="8:8" ht="13">
      <c r="H845" s="226"/>
    </row>
    <row r="846" spans="8:8" ht="13">
      <c r="H846" s="226"/>
    </row>
    <row r="847" spans="8:8" ht="13">
      <c r="H847" s="226"/>
    </row>
    <row r="848" spans="8:8" ht="13">
      <c r="H848" s="226"/>
    </row>
    <row r="849" spans="8:8" ht="13">
      <c r="H849" s="226"/>
    </row>
    <row r="850" spans="8:8" ht="13">
      <c r="H850" s="226"/>
    </row>
    <row r="851" spans="8:8" ht="13">
      <c r="H851" s="226"/>
    </row>
    <row r="852" spans="8:8" ht="13">
      <c r="H852" s="226"/>
    </row>
    <row r="853" spans="8:8" ht="13">
      <c r="H853" s="226"/>
    </row>
    <row r="854" spans="8:8" ht="13">
      <c r="H854" s="226"/>
    </row>
    <row r="855" spans="8:8" ht="13">
      <c r="H855" s="226"/>
    </row>
    <row r="856" spans="8:8" ht="13">
      <c r="H856" s="226"/>
    </row>
    <row r="857" spans="8:8" ht="13">
      <c r="H857" s="226"/>
    </row>
    <row r="858" spans="8:8" ht="13">
      <c r="H858" s="226"/>
    </row>
    <row r="859" spans="8:8" ht="13">
      <c r="H859" s="226"/>
    </row>
    <row r="860" spans="8:8" ht="13">
      <c r="H860" s="226"/>
    </row>
    <row r="861" spans="8:8" ht="13">
      <c r="H861" s="226"/>
    </row>
    <row r="862" spans="8:8" ht="13">
      <c r="H862" s="226"/>
    </row>
    <row r="863" spans="8:8" ht="13">
      <c r="H863" s="226"/>
    </row>
    <row r="864" spans="8:8" ht="13">
      <c r="H864" s="226"/>
    </row>
    <row r="865" spans="8:8" ht="13">
      <c r="H865" s="226"/>
    </row>
    <row r="866" spans="8:8" ht="13">
      <c r="H866" s="226"/>
    </row>
    <row r="867" spans="8:8" ht="13">
      <c r="H867" s="226"/>
    </row>
    <row r="868" spans="8:8" ht="13">
      <c r="H868" s="226"/>
    </row>
    <row r="869" spans="8:8" ht="13">
      <c r="H869" s="226"/>
    </row>
    <row r="870" spans="8:8" ht="13">
      <c r="H870" s="226"/>
    </row>
    <row r="871" spans="8:8" ht="13">
      <c r="H871" s="226"/>
    </row>
    <row r="872" spans="8:8" ht="13">
      <c r="H872" s="226"/>
    </row>
    <row r="873" spans="8:8" ht="13">
      <c r="H873" s="226"/>
    </row>
    <row r="874" spans="8:8" ht="13">
      <c r="H874" s="226"/>
    </row>
    <row r="875" spans="8:8" ht="13">
      <c r="H875" s="226"/>
    </row>
    <row r="876" spans="8:8" ht="13">
      <c r="H876" s="226"/>
    </row>
    <row r="877" spans="8:8" ht="13">
      <c r="H877" s="226"/>
    </row>
    <row r="878" spans="8:8" ht="13">
      <c r="H878" s="226"/>
    </row>
    <row r="879" spans="8:8" ht="13">
      <c r="H879" s="226"/>
    </row>
    <row r="880" spans="8:8" ht="13">
      <c r="H880" s="226"/>
    </row>
    <row r="881" spans="8:8" ht="13">
      <c r="H881" s="226"/>
    </row>
    <row r="882" spans="8:8" ht="13">
      <c r="H882" s="226"/>
    </row>
    <row r="883" spans="8:8" ht="13">
      <c r="H883" s="226"/>
    </row>
    <row r="884" spans="8:8" ht="13">
      <c r="H884" s="226"/>
    </row>
    <row r="885" spans="8:8" ht="13">
      <c r="H885" s="226"/>
    </row>
    <row r="886" spans="8:8" ht="13">
      <c r="H886" s="226"/>
    </row>
    <row r="887" spans="8:8" ht="13">
      <c r="H887" s="226"/>
    </row>
    <row r="888" spans="8:8" ht="13">
      <c r="H888" s="226"/>
    </row>
    <row r="889" spans="8:8" ht="13">
      <c r="H889" s="226"/>
    </row>
    <row r="890" spans="8:8" ht="13">
      <c r="H890" s="226"/>
    </row>
    <row r="891" spans="8:8" ht="13">
      <c r="H891" s="226"/>
    </row>
    <row r="892" spans="8:8" ht="13">
      <c r="H892" s="226"/>
    </row>
    <row r="893" spans="8:8" ht="13">
      <c r="H893" s="226"/>
    </row>
    <row r="894" spans="8:8" ht="13">
      <c r="H894" s="226"/>
    </row>
    <row r="895" spans="8:8" ht="13">
      <c r="H895" s="226"/>
    </row>
    <row r="896" spans="8:8" ht="13">
      <c r="H896" s="226"/>
    </row>
    <row r="897" spans="8:8" ht="13">
      <c r="H897" s="226"/>
    </row>
    <row r="898" spans="8:8" ht="13">
      <c r="H898" s="226"/>
    </row>
    <row r="899" spans="8:8" ht="13">
      <c r="H899" s="226"/>
    </row>
    <row r="900" spans="8:8" ht="13">
      <c r="H900" s="226"/>
    </row>
    <row r="901" spans="8:8" ht="13">
      <c r="H901" s="226"/>
    </row>
    <row r="902" spans="8:8" ht="13">
      <c r="H902" s="226"/>
    </row>
    <row r="903" spans="8:8" ht="13">
      <c r="H903" s="226"/>
    </row>
    <row r="904" spans="8:8" ht="13">
      <c r="H904" s="226"/>
    </row>
    <row r="905" spans="8:8" ht="13">
      <c r="H905" s="226"/>
    </row>
    <row r="906" spans="8:8" ht="13">
      <c r="H906" s="226"/>
    </row>
    <row r="907" spans="8:8" ht="13">
      <c r="H907" s="226"/>
    </row>
    <row r="908" spans="8:8" ht="13">
      <c r="H908" s="226"/>
    </row>
    <row r="909" spans="8:8" ht="13">
      <c r="H909" s="226"/>
    </row>
    <row r="910" spans="8:8" ht="13">
      <c r="H910" s="226"/>
    </row>
    <row r="911" spans="8:8" ht="13">
      <c r="H911" s="226"/>
    </row>
    <row r="912" spans="8:8" ht="13">
      <c r="H912" s="226"/>
    </row>
    <row r="913" spans="8:8" ht="13">
      <c r="H913" s="226"/>
    </row>
    <row r="914" spans="8:8" ht="13">
      <c r="H914" s="226"/>
    </row>
    <row r="915" spans="8:8" ht="13">
      <c r="H915" s="226"/>
    </row>
    <row r="916" spans="8:8" ht="13">
      <c r="H916" s="226"/>
    </row>
    <row r="917" spans="8:8" ht="13">
      <c r="H917" s="226"/>
    </row>
    <row r="918" spans="8:8" ht="13">
      <c r="H918" s="226"/>
    </row>
    <row r="919" spans="8:8" ht="13">
      <c r="H919" s="226"/>
    </row>
    <row r="920" spans="8:8" ht="13">
      <c r="H920" s="226"/>
    </row>
    <row r="921" spans="8:8" ht="13">
      <c r="H921" s="226"/>
    </row>
    <row r="922" spans="8:8" ht="13">
      <c r="H922" s="226"/>
    </row>
    <row r="923" spans="8:8" ht="13">
      <c r="H923" s="226"/>
    </row>
    <row r="924" spans="8:8" ht="13">
      <c r="H924" s="226"/>
    </row>
    <row r="925" spans="8:8" ht="13">
      <c r="H925" s="226"/>
    </row>
    <row r="926" spans="8:8" ht="13">
      <c r="H926" s="226"/>
    </row>
    <row r="927" spans="8:8" ht="13">
      <c r="H927" s="226"/>
    </row>
    <row r="928" spans="8:8" ht="13">
      <c r="H928" s="226"/>
    </row>
    <row r="929" spans="8:8" ht="13">
      <c r="H929" s="226"/>
    </row>
    <row r="930" spans="8:8" ht="13">
      <c r="H930" s="226"/>
    </row>
    <row r="931" spans="8:8" ht="13">
      <c r="H931" s="226"/>
    </row>
    <row r="932" spans="8:8" ht="13">
      <c r="H932" s="226"/>
    </row>
    <row r="933" spans="8:8" ht="13">
      <c r="H933" s="226"/>
    </row>
    <row r="934" spans="8:8" ht="13">
      <c r="H934" s="226"/>
    </row>
    <row r="935" spans="8:8" ht="13">
      <c r="H935" s="226"/>
    </row>
    <row r="936" spans="8:8" ht="13">
      <c r="H936" s="226"/>
    </row>
    <row r="937" spans="8:8" ht="13">
      <c r="H937" s="226"/>
    </row>
    <row r="938" spans="8:8" ht="13">
      <c r="H938" s="226"/>
    </row>
    <row r="939" spans="8:8" ht="13">
      <c r="H939" s="226"/>
    </row>
    <row r="940" spans="8:8" ht="13">
      <c r="H940" s="226"/>
    </row>
    <row r="941" spans="8:8" ht="13">
      <c r="H941" s="226"/>
    </row>
    <row r="942" spans="8:8" ht="13">
      <c r="H942" s="226"/>
    </row>
    <row r="943" spans="8:8" ht="13">
      <c r="H943" s="226"/>
    </row>
    <row r="944" spans="8:8" ht="13">
      <c r="H944" s="226"/>
    </row>
    <row r="945" spans="8:8" ht="13">
      <c r="H945" s="226"/>
    </row>
    <row r="946" spans="8:8" ht="13">
      <c r="H946" s="226"/>
    </row>
    <row r="947" spans="8:8" ht="13">
      <c r="H947" s="226"/>
    </row>
    <row r="948" spans="8:8" ht="13">
      <c r="H948" s="226"/>
    </row>
    <row r="949" spans="8:8" ht="13">
      <c r="H949" s="226"/>
    </row>
    <row r="950" spans="8:8" ht="13">
      <c r="H950" s="226"/>
    </row>
    <row r="951" spans="8:8" ht="13">
      <c r="H951" s="226"/>
    </row>
    <row r="952" spans="8:8" ht="13">
      <c r="H952" s="226"/>
    </row>
    <row r="953" spans="8:8" ht="13">
      <c r="H953" s="226"/>
    </row>
    <row r="954" spans="8:8" ht="13">
      <c r="H954" s="226"/>
    </row>
    <row r="955" spans="8:8" ht="13">
      <c r="H955" s="226"/>
    </row>
    <row r="956" spans="8:8" ht="13">
      <c r="H956" s="226"/>
    </row>
    <row r="957" spans="8:8" ht="13">
      <c r="H957" s="226"/>
    </row>
    <row r="958" spans="8:8" ht="13">
      <c r="H958" s="226"/>
    </row>
    <row r="959" spans="8:8" ht="13">
      <c r="H959" s="226"/>
    </row>
    <row r="960" spans="8:8" ht="13">
      <c r="H960" s="226"/>
    </row>
    <row r="961" spans="8:8" ht="13">
      <c r="H961" s="226"/>
    </row>
    <row r="962" spans="8:8" ht="13">
      <c r="H962" s="226"/>
    </row>
    <row r="963" spans="8:8" ht="13">
      <c r="H963" s="226"/>
    </row>
    <row r="964" spans="8:8" ht="13">
      <c r="H964" s="226"/>
    </row>
    <row r="965" spans="8:8" ht="13">
      <c r="H965" s="226"/>
    </row>
    <row r="966" spans="8:8" ht="13">
      <c r="H966" s="226"/>
    </row>
    <row r="967" spans="8:8" ht="13">
      <c r="H967" s="226"/>
    </row>
    <row r="968" spans="8:8" ht="13">
      <c r="H968" s="226"/>
    </row>
    <row r="969" spans="8:8" ht="13">
      <c r="H969" s="226"/>
    </row>
    <row r="970" spans="8:8" ht="13">
      <c r="H970" s="226"/>
    </row>
    <row r="971" spans="8:8" ht="13">
      <c r="H971" s="226"/>
    </row>
    <row r="972" spans="8:8" ht="13">
      <c r="H972" s="226"/>
    </row>
    <row r="973" spans="8:8" ht="13">
      <c r="H973" s="226"/>
    </row>
    <row r="974" spans="8:8" ht="13">
      <c r="H974" s="226"/>
    </row>
    <row r="975" spans="8:8" ht="13">
      <c r="H975" s="226"/>
    </row>
    <row r="976" spans="8:8" ht="13">
      <c r="H976" s="226"/>
    </row>
    <row r="977" spans="8:8" ht="13">
      <c r="H977" s="226"/>
    </row>
    <row r="978" spans="8:8" ht="13">
      <c r="H978" s="226"/>
    </row>
    <row r="979" spans="8:8" ht="13">
      <c r="H979" s="226"/>
    </row>
    <row r="980" spans="8:8" ht="13">
      <c r="H980" s="226"/>
    </row>
    <row r="981" spans="8:8" ht="13">
      <c r="H981" s="226"/>
    </row>
    <row r="982" spans="8:8" ht="13">
      <c r="H982" s="226"/>
    </row>
    <row r="983" spans="8:8" ht="13">
      <c r="H983" s="226"/>
    </row>
    <row r="984" spans="8:8" ht="13">
      <c r="H984" s="226"/>
    </row>
    <row r="985" spans="8:8" ht="13">
      <c r="H985" s="226"/>
    </row>
    <row r="986" spans="8:8" ht="13">
      <c r="H986" s="226"/>
    </row>
    <row r="987" spans="8:8" ht="13">
      <c r="H987" s="226"/>
    </row>
    <row r="988" spans="8:8" ht="13">
      <c r="H988" s="226"/>
    </row>
    <row r="989" spans="8:8" ht="13">
      <c r="H989" s="226"/>
    </row>
    <row r="990" spans="8:8" ht="13">
      <c r="H990" s="226"/>
    </row>
    <row r="991" spans="8:8" ht="13">
      <c r="H991" s="226"/>
    </row>
    <row r="992" spans="8:8" ht="13">
      <c r="H992" s="226"/>
    </row>
    <row r="993" spans="8:8" ht="13">
      <c r="H993" s="226"/>
    </row>
    <row r="994" spans="8:8" ht="13">
      <c r="H994" s="226"/>
    </row>
    <row r="995" spans="8:8" ht="13">
      <c r="H995" s="226"/>
    </row>
    <row r="996" spans="8:8" ht="13">
      <c r="H996" s="226"/>
    </row>
    <row r="997" spans="8:8" ht="13">
      <c r="H997" s="226"/>
    </row>
    <row r="998" spans="8:8" ht="13">
      <c r="H998" s="226"/>
    </row>
    <row r="999" spans="8:8" ht="13">
      <c r="H999" s="226"/>
    </row>
    <row r="1000" spans="8:8" ht="13">
      <c r="H1000" s="226"/>
    </row>
    <row r="1001" spans="8:8" ht="13">
      <c r="H1001" s="226"/>
    </row>
    <row r="1002" spans="8:8" ht="13">
      <c r="H1002" s="226"/>
    </row>
    <row r="1003" spans="8:8" ht="13">
      <c r="H1003" s="226"/>
    </row>
    <row r="1004" spans="8:8" ht="13">
      <c r="H1004" s="226"/>
    </row>
    <row r="1005" spans="8:8" ht="13">
      <c r="H1005" s="226"/>
    </row>
    <row r="1006" spans="8:8" ht="13">
      <c r="H1006" s="226"/>
    </row>
    <row r="1007" spans="8:8" ht="13">
      <c r="H1007" s="226"/>
    </row>
    <row r="1008" spans="8:8" ht="13">
      <c r="H1008" s="226"/>
    </row>
    <row r="1009" spans="8:8" ht="13">
      <c r="H1009" s="226"/>
    </row>
    <row r="1010" spans="8:8" ht="13">
      <c r="H1010" s="226"/>
    </row>
    <row r="1011" spans="8:8" ht="13">
      <c r="H1011" s="226"/>
    </row>
    <row r="1012" spans="8:8" ht="13">
      <c r="H1012" s="226"/>
    </row>
    <row r="1013" spans="8:8" ht="13">
      <c r="H1013" s="226"/>
    </row>
    <row r="1014" spans="8:8" ht="13">
      <c r="H1014" s="226"/>
    </row>
    <row r="1015" spans="8:8" ht="13">
      <c r="H1015" s="226"/>
    </row>
    <row r="1016" spans="8:8" ht="13">
      <c r="H1016" s="226"/>
    </row>
    <row r="1017" spans="8:8" ht="13">
      <c r="H1017" s="226"/>
    </row>
    <row r="1018" spans="8:8" ht="13">
      <c r="H1018" s="226"/>
    </row>
    <row r="1019" spans="8:8" ht="13">
      <c r="H1019" s="226"/>
    </row>
    <row r="1020" spans="8:8" ht="13">
      <c r="H1020" s="226"/>
    </row>
    <row r="1021" spans="8:8" ht="13">
      <c r="H1021" s="226"/>
    </row>
    <row r="1022" spans="8:8" ht="13">
      <c r="H1022" s="226"/>
    </row>
    <row r="1023" spans="8:8" ht="13">
      <c r="H1023" s="226"/>
    </row>
    <row r="1024" spans="8:8" ht="13">
      <c r="H1024" s="226"/>
    </row>
    <row r="1025" spans="8:8" ht="13">
      <c r="H1025" s="226"/>
    </row>
    <row r="1026" spans="8:8" ht="13">
      <c r="H1026" s="226"/>
    </row>
    <row r="1027" spans="8:8" ht="13">
      <c r="H1027" s="226"/>
    </row>
    <row r="1028" spans="8:8" ht="13">
      <c r="H1028" s="226"/>
    </row>
    <row r="1029" spans="8:8" ht="13">
      <c r="H1029" s="226"/>
    </row>
    <row r="1030" spans="8:8" ht="13">
      <c r="H1030" s="226"/>
    </row>
    <row r="1031" spans="8:8" ht="13">
      <c r="H1031" s="226"/>
    </row>
    <row r="1032" spans="8:8" ht="13">
      <c r="H1032" s="226"/>
    </row>
    <row r="1033" spans="8:8" ht="13">
      <c r="H1033" s="226"/>
    </row>
    <row r="1034" spans="8:8" ht="13">
      <c r="H1034" s="226"/>
    </row>
    <row r="1035" spans="8:8" ht="13">
      <c r="H1035" s="226"/>
    </row>
    <row r="1036" spans="8:8" ht="13">
      <c r="H1036" s="226"/>
    </row>
    <row r="1037" spans="8:8" ht="13">
      <c r="H1037" s="226"/>
    </row>
    <row r="1038" spans="8:8" ht="13">
      <c r="H1038" s="226"/>
    </row>
    <row r="1039" spans="8:8" ht="13">
      <c r="H1039" s="226"/>
    </row>
    <row r="1040" spans="8:8" ht="13">
      <c r="H1040" s="226"/>
    </row>
    <row r="1041" spans="8:8" ht="13">
      <c r="H1041" s="226"/>
    </row>
    <row r="1042" spans="8:8" ht="13">
      <c r="H1042" s="226"/>
    </row>
    <row r="1043" spans="8:8" ht="13">
      <c r="H1043" s="226"/>
    </row>
    <row r="1044" spans="8:8" ht="13">
      <c r="H1044" s="226"/>
    </row>
    <row r="1045" spans="8:8" ht="13">
      <c r="H1045" s="226"/>
    </row>
    <row r="1046" spans="8:8" ht="13">
      <c r="H1046" s="226"/>
    </row>
    <row r="1047" spans="8:8" ht="13">
      <c r="H1047" s="226"/>
    </row>
    <row r="1048" spans="8:8" ht="13">
      <c r="H1048" s="226"/>
    </row>
    <row r="1049" spans="8:8" ht="13">
      <c r="H1049" s="226"/>
    </row>
    <row r="1050" spans="8:8" ht="13">
      <c r="H1050" s="226"/>
    </row>
    <row r="1051" spans="8:8" ht="13">
      <c r="H1051" s="226"/>
    </row>
    <row r="1052" spans="8:8" ht="13">
      <c r="H1052" s="226"/>
    </row>
    <row r="1053" spans="8:8" ht="13">
      <c r="H1053" s="226"/>
    </row>
    <row r="1054" spans="8:8" ht="13">
      <c r="H1054" s="226"/>
    </row>
    <row r="1055" spans="8:8" ht="13">
      <c r="H1055" s="226"/>
    </row>
    <row r="1056" spans="8:8" ht="13">
      <c r="H1056" s="226"/>
    </row>
    <row r="1057" spans="8:8" ht="13">
      <c r="H1057" s="226"/>
    </row>
    <row r="1058" spans="8:8" ht="13">
      <c r="H1058" s="226"/>
    </row>
  </sheetData>
  <autoFilter ref="A1:U151" xr:uid="{00000000-0009-0000-0000-00000A000000}">
    <filterColumn colId="18">
      <filters>
        <filter val="Zeiss"/>
      </filters>
    </filterColumn>
  </autoFilter>
  <conditionalFormatting sqref="C82:C151">
    <cfRule type="colorScale" priority="1">
      <colorScale>
        <cfvo type="formula" val="10"/>
        <cfvo type="formula" val="50"/>
        <cfvo type="formula" val="400"/>
        <color rgb="FFCFE2F3"/>
        <color rgb="FF709CE0"/>
        <color rgb="FF1155CC"/>
      </colorScale>
    </cfRule>
  </conditionalFormatting>
  <conditionalFormatting sqref="A82:A151">
    <cfRule type="expression" dxfId="160" priority="2">
      <formula>(TODAY()-T82)&lt;0</formula>
    </cfRule>
  </conditionalFormatting>
  <conditionalFormatting sqref="A82:A151">
    <cfRule type="expression" dxfId="159" priority="3">
      <formula>(TODAY()-T82)&lt;180</formula>
    </cfRule>
  </conditionalFormatting>
  <conditionalFormatting sqref="G82:G151">
    <cfRule type="cellIs" dxfId="158" priority="4" operator="equal">
      <formula>"MF"</formula>
    </cfRule>
  </conditionalFormatting>
  <conditionalFormatting sqref="I82:I151">
    <cfRule type="cellIs" dxfId="157" priority="5" operator="between">
      <formula>0.24</formula>
      <formula>0.45</formula>
    </cfRule>
  </conditionalFormatting>
  <conditionalFormatting sqref="I82:I151">
    <cfRule type="cellIs" dxfId="156" priority="6" operator="between">
      <formula>0.45</formula>
      <formula>0.99</formula>
    </cfRule>
  </conditionalFormatting>
  <conditionalFormatting sqref="I82:I151">
    <cfRule type="cellIs" dxfId="155" priority="7" operator="greaterThan">
      <formula>0.99</formula>
    </cfRule>
  </conditionalFormatting>
  <conditionalFormatting sqref="B1 B3:B1058">
    <cfRule type="cellIs" dxfId="154" priority="8" operator="between">
      <formula>50</formula>
      <formula>200</formula>
    </cfRule>
  </conditionalFormatting>
  <conditionalFormatting sqref="B1 B3:B1058">
    <cfRule type="cellIs" dxfId="153" priority="9" operator="between">
      <formula>201</formula>
      <formula>400</formula>
    </cfRule>
  </conditionalFormatting>
  <conditionalFormatting sqref="B3:B1053">
    <cfRule type="cellIs" dxfId="152" priority="10" operator="between">
      <formula>401</formula>
      <formula>650</formula>
    </cfRule>
  </conditionalFormatting>
  <conditionalFormatting sqref="B3:B1053">
    <cfRule type="cellIs" dxfId="151" priority="11" operator="between">
      <formula>651</formula>
      <formula>900</formula>
    </cfRule>
  </conditionalFormatting>
  <conditionalFormatting sqref="B3:B1053">
    <cfRule type="cellIs" dxfId="150" priority="12" operator="greaterThan">
      <formula>900</formula>
    </cfRule>
  </conditionalFormatting>
  <conditionalFormatting sqref="P3:P1053">
    <cfRule type="containsText" dxfId="149" priority="13" operator="containsText" text="yes">
      <formula>NOT(ISERROR(SEARCH(("yes"),(P3))))</formula>
    </cfRule>
  </conditionalFormatting>
  <conditionalFormatting sqref="F1:F1058">
    <cfRule type="colorScale" priority="14">
      <colorScale>
        <cfvo type="min"/>
        <cfvo type="formula" val="150"/>
        <color rgb="FFEAD1DC"/>
        <color rgb="FFA64D79"/>
      </colorScale>
    </cfRule>
  </conditionalFormatting>
  <conditionalFormatting sqref="D3:D151">
    <cfRule type="colorScale" priority="15">
      <colorScale>
        <cfvo type="formula" val="1.2"/>
        <cfvo type="formula" val="4"/>
        <color rgb="FF0B5394"/>
        <color rgb="FFFFFFFF"/>
      </colorScale>
    </cfRule>
  </conditionalFormatting>
  <conditionalFormatting sqref="E3:E151">
    <cfRule type="colorScale" priority="16">
      <colorScale>
        <cfvo type="formula" val="65"/>
        <cfvo type="formula" val="100"/>
        <color rgb="FFD9D2E9"/>
        <color rgb="FF674EA7"/>
      </colorScale>
    </cfRule>
  </conditionalFormatting>
  <conditionalFormatting sqref="D3:D151">
    <cfRule type="containsText" dxfId="148" priority="17" operator="containsText" text="1.2">
      <formula>NOT(ISERROR(SEARCH(("1.2"),(D3))))</formula>
    </cfRule>
  </conditionalFormatting>
  <conditionalFormatting sqref="B3:B1053">
    <cfRule type="cellIs" dxfId="147" priority="18" operator="between">
      <formula>651</formula>
      <formula>900</formula>
    </cfRule>
  </conditionalFormatting>
  <conditionalFormatting sqref="D3:D151">
    <cfRule type="containsText" dxfId="146" priority="19" operator="containsText" text="1.4">
      <formula>NOT(ISERROR(SEARCH(("1.4"),(D3))))</formula>
    </cfRule>
  </conditionalFormatting>
  <conditionalFormatting sqref="D3:D151 E3:AA81">
    <cfRule type="containsText" dxfId="145" priority="20" operator="containsText" text="1.8">
      <formula>NOT(ISERROR(SEARCH(("1.8"),(D3))))</formula>
    </cfRule>
  </conditionalFormatting>
  <conditionalFormatting sqref="F1:F1058">
    <cfRule type="colorScale" priority="21">
      <colorScale>
        <cfvo type="min"/>
        <cfvo type="formula" val="150"/>
        <color rgb="FFEAD1DC"/>
        <color rgb="FFA64D79"/>
      </colorScale>
    </cfRule>
  </conditionalFormatting>
  <conditionalFormatting sqref="D3:D81">
    <cfRule type="colorScale" priority="22">
      <colorScale>
        <cfvo type="formula" val="1.2"/>
        <cfvo type="formula" val="4"/>
        <color rgb="FF0B5394"/>
        <color rgb="FFFFFFFF"/>
      </colorScale>
    </cfRule>
  </conditionalFormatting>
  <conditionalFormatting sqref="E3:E81">
    <cfRule type="colorScale" priority="23">
      <colorScale>
        <cfvo type="formula" val="65"/>
        <cfvo type="formula" val="100"/>
        <color rgb="FFD9D2E9"/>
        <color rgb="FF674EA7"/>
      </colorScale>
    </cfRule>
  </conditionalFormatting>
  <conditionalFormatting sqref="D3:D81">
    <cfRule type="containsText" dxfId="144" priority="24" operator="containsText" text="1.2">
      <formula>NOT(ISERROR(SEARCH(("1.2"),(D3))))</formula>
    </cfRule>
  </conditionalFormatting>
  <conditionalFormatting sqref="D12 D78">
    <cfRule type="notContainsBlanks" dxfId="143" priority="25">
      <formula>LEN(TRIM(D12))&gt;0</formula>
    </cfRule>
  </conditionalFormatting>
  <conditionalFormatting sqref="D3:D81">
    <cfRule type="containsText" dxfId="142" priority="26" operator="containsText" text="1.4">
      <formula>NOT(ISERROR(SEARCH(("1.4"),(D3))))</formula>
    </cfRule>
  </conditionalFormatting>
  <conditionalFormatting sqref="D3:AA81">
    <cfRule type="containsText" dxfId="141" priority="27" operator="containsText" text="1.8">
      <formula>NOT(ISERROR(SEARCH(("1.8"),(D3))))</formula>
    </cfRule>
  </conditionalFormatting>
  <conditionalFormatting sqref="F1:F1058">
    <cfRule type="colorScale" priority="28">
      <colorScale>
        <cfvo type="min"/>
        <cfvo type="formula" val="150"/>
        <color rgb="FFEAD1DC"/>
        <color rgb="FFA64D79"/>
      </colorScale>
    </cfRule>
  </conditionalFormatting>
  <conditionalFormatting sqref="D3:D81">
    <cfRule type="colorScale" priority="29">
      <colorScale>
        <cfvo type="formula" val="1.2"/>
        <cfvo type="formula" val="4"/>
        <color rgb="FF0B5394"/>
        <color rgb="FFFFFFFF"/>
      </colorScale>
    </cfRule>
  </conditionalFormatting>
  <conditionalFormatting sqref="E3:E81">
    <cfRule type="colorScale" priority="30">
      <colorScale>
        <cfvo type="formula" val="65"/>
        <cfvo type="formula" val="100"/>
        <color rgb="FFD9D2E9"/>
        <color rgb="FF674EA7"/>
      </colorScale>
    </cfRule>
  </conditionalFormatting>
  <conditionalFormatting sqref="D3:D81">
    <cfRule type="containsText" dxfId="140" priority="31" operator="containsText" text="1.2">
      <formula>NOT(ISERROR(SEARCH(("1.2"),(D3))))</formula>
    </cfRule>
  </conditionalFormatting>
  <conditionalFormatting sqref="B3:B1053">
    <cfRule type="cellIs" dxfId="139" priority="32" operator="between">
      <formula>651</formula>
      <formula>900</formula>
    </cfRule>
  </conditionalFormatting>
  <conditionalFormatting sqref="D3:D81">
    <cfRule type="containsText" dxfId="138" priority="33" operator="containsText" text="1.4">
      <formula>NOT(ISERROR(SEARCH(("1.4"),(D3))))</formula>
    </cfRule>
  </conditionalFormatting>
  <conditionalFormatting sqref="D3:AA81">
    <cfRule type="containsText" dxfId="137" priority="34" operator="containsText" text="1.8">
      <formula>NOT(ISERROR(SEARCH(("1.8"),(D3))))</formula>
    </cfRule>
  </conditionalFormatting>
  <conditionalFormatting sqref="F1:F1058">
    <cfRule type="colorScale" priority="35">
      <colorScale>
        <cfvo type="min"/>
        <cfvo type="formula" val="150"/>
        <color rgb="FFEAD1DC"/>
        <color rgb="FFA64D79"/>
      </colorScale>
    </cfRule>
  </conditionalFormatting>
  <conditionalFormatting sqref="D3:D81">
    <cfRule type="colorScale" priority="36">
      <colorScale>
        <cfvo type="formula" val="1.2"/>
        <cfvo type="formula" val="4"/>
        <color rgb="FF0B5394"/>
        <color rgb="FFFFFFFF"/>
      </colorScale>
    </cfRule>
  </conditionalFormatting>
  <conditionalFormatting sqref="E3:E81">
    <cfRule type="colorScale" priority="37">
      <colorScale>
        <cfvo type="formula" val="65"/>
        <cfvo type="formula" val="100"/>
        <color rgb="FFD9D2E9"/>
        <color rgb="FF674EA7"/>
      </colorScale>
    </cfRule>
  </conditionalFormatting>
  <conditionalFormatting sqref="D3:D81">
    <cfRule type="containsText" dxfId="136" priority="38" operator="containsText" text="1.2">
      <formula>NOT(ISERROR(SEARCH(("1.2"),(D3))))</formula>
    </cfRule>
  </conditionalFormatting>
  <conditionalFormatting sqref="B3:B1053">
    <cfRule type="cellIs" dxfId="135" priority="39" operator="between">
      <formula>651</formula>
      <formula>900</formula>
    </cfRule>
  </conditionalFormatting>
  <conditionalFormatting sqref="D3:D81">
    <cfRule type="containsText" dxfId="134" priority="40" operator="containsText" text="1.4">
      <formula>NOT(ISERROR(SEARCH(("1.4"),(D3))))</formula>
    </cfRule>
  </conditionalFormatting>
  <conditionalFormatting sqref="D3:AA81">
    <cfRule type="containsText" dxfId="133" priority="41" operator="containsText" text="1.8">
      <formula>NOT(ISERROR(SEARCH(("1.8"),(D3))))</formula>
    </cfRule>
  </conditionalFormatting>
  <conditionalFormatting sqref="F1:F1058">
    <cfRule type="colorScale" priority="42">
      <colorScale>
        <cfvo type="min"/>
        <cfvo type="formula" val="150"/>
        <color rgb="FFEAD1DC"/>
        <color rgb="FFA64D79"/>
      </colorScale>
    </cfRule>
  </conditionalFormatting>
  <conditionalFormatting sqref="D3:D81">
    <cfRule type="colorScale" priority="43">
      <colorScale>
        <cfvo type="formula" val="1.2"/>
        <cfvo type="formula" val="4"/>
        <color rgb="FF0B5394"/>
        <color rgb="FFFFFFFF"/>
      </colorScale>
    </cfRule>
  </conditionalFormatting>
  <conditionalFormatting sqref="E3:E81">
    <cfRule type="colorScale" priority="44">
      <colorScale>
        <cfvo type="formula" val="65"/>
        <cfvo type="formula" val="100"/>
        <color rgb="FFD9D2E9"/>
        <color rgb="FF674EA7"/>
      </colorScale>
    </cfRule>
  </conditionalFormatting>
  <conditionalFormatting sqref="D3:D81">
    <cfRule type="containsText" dxfId="132" priority="45" operator="containsText" text="1.2">
      <formula>NOT(ISERROR(SEARCH(("1.2"),(D3))))</formula>
    </cfRule>
  </conditionalFormatting>
  <conditionalFormatting sqref="B3:B1053">
    <cfRule type="cellIs" dxfId="131" priority="46" operator="between">
      <formula>651</formula>
      <formula>900</formula>
    </cfRule>
  </conditionalFormatting>
  <conditionalFormatting sqref="D3:D81">
    <cfRule type="containsText" dxfId="130" priority="47" operator="containsText" text="1.4">
      <formula>NOT(ISERROR(SEARCH(("1.4"),(D3))))</formula>
    </cfRule>
  </conditionalFormatting>
  <conditionalFormatting sqref="D3:AA81">
    <cfRule type="containsText" dxfId="129" priority="48" operator="containsText" text="1.8">
      <formula>NOT(ISERROR(SEARCH(("1.8"),(D3))))</formula>
    </cfRule>
  </conditionalFormatting>
  <conditionalFormatting sqref="F1:F1058">
    <cfRule type="colorScale" priority="49">
      <colorScale>
        <cfvo type="min"/>
        <cfvo type="formula" val="150"/>
        <color rgb="FFEAD1DC"/>
        <color rgb="FFA64D79"/>
      </colorScale>
    </cfRule>
  </conditionalFormatting>
  <conditionalFormatting sqref="D3:D81">
    <cfRule type="colorScale" priority="50">
      <colorScale>
        <cfvo type="formula" val="1.2"/>
        <cfvo type="formula" val="4"/>
        <color rgb="FF0B5394"/>
        <color rgb="FFFFFFFF"/>
      </colorScale>
    </cfRule>
  </conditionalFormatting>
  <conditionalFormatting sqref="E3:E81">
    <cfRule type="colorScale" priority="51">
      <colorScale>
        <cfvo type="formula" val="65"/>
        <cfvo type="formula" val="100"/>
        <color rgb="FFD9D2E9"/>
        <color rgb="FF674EA7"/>
      </colorScale>
    </cfRule>
  </conditionalFormatting>
  <conditionalFormatting sqref="D3:D81">
    <cfRule type="containsText" dxfId="128" priority="52" operator="containsText" text="1.2">
      <formula>NOT(ISERROR(SEARCH(("1.2"),(D3))))</formula>
    </cfRule>
  </conditionalFormatting>
  <conditionalFormatting sqref="B3:B1053">
    <cfRule type="cellIs" dxfId="127" priority="53" operator="between">
      <formula>651</formula>
      <formula>900</formula>
    </cfRule>
  </conditionalFormatting>
  <conditionalFormatting sqref="D3:D81">
    <cfRule type="containsText" dxfId="126" priority="54" operator="containsText" text="1.4">
      <formula>NOT(ISERROR(SEARCH(("1.4"),(D3))))</formula>
    </cfRule>
  </conditionalFormatting>
  <conditionalFormatting sqref="D3:AA81">
    <cfRule type="containsText" dxfId="125" priority="55" operator="containsText" text="1.8">
      <formula>NOT(ISERROR(SEARCH(("1.8"),(D3))))</formula>
    </cfRule>
  </conditionalFormatting>
  <conditionalFormatting sqref="F1:F1058">
    <cfRule type="colorScale" priority="56">
      <colorScale>
        <cfvo type="min"/>
        <cfvo type="formula" val="150"/>
        <color rgb="FFEAD1DC"/>
        <color rgb="FFA64D79"/>
      </colorScale>
    </cfRule>
  </conditionalFormatting>
  <conditionalFormatting sqref="D3:D81">
    <cfRule type="colorScale" priority="57">
      <colorScale>
        <cfvo type="formula" val="1.2"/>
        <cfvo type="formula" val="4"/>
        <color rgb="FF0B5394"/>
        <color rgb="FFFFFFFF"/>
      </colorScale>
    </cfRule>
  </conditionalFormatting>
  <conditionalFormatting sqref="E3:E81">
    <cfRule type="colorScale" priority="58">
      <colorScale>
        <cfvo type="formula" val="65"/>
        <cfvo type="formula" val="100"/>
        <color rgb="FFD9D2E9"/>
        <color rgb="FF674EA7"/>
      </colorScale>
    </cfRule>
  </conditionalFormatting>
  <conditionalFormatting sqref="D3:D81">
    <cfRule type="containsText" dxfId="124" priority="59" operator="containsText" text="1.2">
      <formula>NOT(ISERROR(SEARCH(("1.2"),(D3))))</formula>
    </cfRule>
  </conditionalFormatting>
  <conditionalFormatting sqref="B3:B1053">
    <cfRule type="cellIs" dxfId="123" priority="60" operator="between">
      <formula>651</formula>
      <formula>900</formula>
    </cfRule>
  </conditionalFormatting>
  <conditionalFormatting sqref="D3:D81">
    <cfRule type="containsText" dxfId="122" priority="61" operator="containsText" text="1.4">
      <formula>NOT(ISERROR(SEARCH(("1.4"),(D3))))</formula>
    </cfRule>
  </conditionalFormatting>
  <conditionalFormatting sqref="D3:AA81">
    <cfRule type="containsText" dxfId="121" priority="62" operator="containsText" text="1.8">
      <formula>NOT(ISERROR(SEARCH(("1.8"),(D3))))</formula>
    </cfRule>
  </conditionalFormatting>
  <conditionalFormatting sqref="F1:F1058">
    <cfRule type="colorScale" priority="63">
      <colorScale>
        <cfvo type="min"/>
        <cfvo type="formula" val="150"/>
        <color rgb="FFEAD1DC"/>
        <color rgb="FFA64D79"/>
      </colorScale>
    </cfRule>
  </conditionalFormatting>
  <conditionalFormatting sqref="D3:D81">
    <cfRule type="colorScale" priority="64">
      <colorScale>
        <cfvo type="formula" val="1.2"/>
        <cfvo type="formula" val="4"/>
        <color rgb="FF0B5394"/>
        <color rgb="FFFFFFFF"/>
      </colorScale>
    </cfRule>
  </conditionalFormatting>
  <conditionalFormatting sqref="E3:E81">
    <cfRule type="colorScale" priority="65">
      <colorScale>
        <cfvo type="formula" val="65"/>
        <cfvo type="formula" val="100"/>
        <color rgb="FFD9D2E9"/>
        <color rgb="FF674EA7"/>
      </colorScale>
    </cfRule>
  </conditionalFormatting>
  <conditionalFormatting sqref="D3:D81">
    <cfRule type="containsText" dxfId="120" priority="66" operator="containsText" text="1.2">
      <formula>NOT(ISERROR(SEARCH(("1.2"),(D3))))</formula>
    </cfRule>
  </conditionalFormatting>
  <conditionalFormatting sqref="B3:B1053">
    <cfRule type="cellIs" dxfId="119" priority="67" operator="between">
      <formula>651</formula>
      <formula>900</formula>
    </cfRule>
  </conditionalFormatting>
  <conditionalFormatting sqref="D3:D81">
    <cfRule type="containsText" dxfId="118" priority="68" operator="containsText" text="1.4">
      <formula>NOT(ISERROR(SEARCH(("1.4"),(D3))))</formula>
    </cfRule>
  </conditionalFormatting>
  <conditionalFormatting sqref="D3:AA81">
    <cfRule type="containsText" dxfId="117" priority="69" operator="containsText" text="1.8">
      <formula>NOT(ISERROR(SEARCH(("1.8"),(D3))))</formula>
    </cfRule>
  </conditionalFormatting>
  <conditionalFormatting sqref="F1:F1058">
    <cfRule type="colorScale" priority="70">
      <colorScale>
        <cfvo type="min"/>
        <cfvo type="formula" val="150"/>
        <color rgb="FFEAD1DC"/>
        <color rgb="FFA64D79"/>
      </colorScale>
    </cfRule>
  </conditionalFormatting>
  <conditionalFormatting sqref="D3:D81">
    <cfRule type="colorScale" priority="71">
      <colorScale>
        <cfvo type="formula" val="1.2"/>
        <cfvo type="formula" val="4"/>
        <color rgb="FF0B5394"/>
        <color rgb="FFFFFFFF"/>
      </colorScale>
    </cfRule>
  </conditionalFormatting>
  <conditionalFormatting sqref="E3:E81">
    <cfRule type="colorScale" priority="72">
      <colorScale>
        <cfvo type="formula" val="65"/>
        <cfvo type="formula" val="100"/>
        <color rgb="FFD9D2E9"/>
        <color rgb="FF674EA7"/>
      </colorScale>
    </cfRule>
  </conditionalFormatting>
  <conditionalFormatting sqref="D3:D81">
    <cfRule type="containsText" dxfId="116" priority="73" operator="containsText" text="1.2">
      <formula>NOT(ISERROR(SEARCH(("1.2"),(D3))))</formula>
    </cfRule>
  </conditionalFormatting>
  <conditionalFormatting sqref="B3:B1053">
    <cfRule type="cellIs" dxfId="115" priority="74" operator="between">
      <formula>651</formula>
      <formula>900</formula>
    </cfRule>
  </conditionalFormatting>
  <conditionalFormatting sqref="D3:D81">
    <cfRule type="containsText" dxfId="114" priority="75" operator="containsText" text="1.4">
      <formula>NOT(ISERROR(SEARCH(("1.4"),(D3))))</formula>
    </cfRule>
  </conditionalFormatting>
  <conditionalFormatting sqref="D3:AA81">
    <cfRule type="containsText" dxfId="113" priority="76" operator="containsText" text="1.8">
      <formula>NOT(ISERROR(SEARCH(("1.8"),(D3))))</formula>
    </cfRule>
  </conditionalFormatting>
  <conditionalFormatting sqref="F1:F1058">
    <cfRule type="colorScale" priority="77">
      <colorScale>
        <cfvo type="min"/>
        <cfvo type="formula" val="150"/>
        <color rgb="FFEAD1DC"/>
        <color rgb="FFA64D79"/>
      </colorScale>
    </cfRule>
  </conditionalFormatting>
  <conditionalFormatting sqref="D3:D81">
    <cfRule type="colorScale" priority="78">
      <colorScale>
        <cfvo type="formula" val="1.2"/>
        <cfvo type="formula" val="4"/>
        <color rgb="FF0B5394"/>
        <color rgb="FFFFFFFF"/>
      </colorScale>
    </cfRule>
  </conditionalFormatting>
  <conditionalFormatting sqref="E3:E81">
    <cfRule type="colorScale" priority="79">
      <colorScale>
        <cfvo type="formula" val="65"/>
        <cfvo type="formula" val="100"/>
        <color rgb="FFD9D2E9"/>
        <color rgb="FF674EA7"/>
      </colorScale>
    </cfRule>
  </conditionalFormatting>
  <conditionalFormatting sqref="D3:D81">
    <cfRule type="containsText" dxfId="112" priority="80" operator="containsText" text="1.2">
      <formula>NOT(ISERROR(SEARCH(("1.2"),(D3))))</formula>
    </cfRule>
  </conditionalFormatting>
  <conditionalFormatting sqref="D12">
    <cfRule type="notContainsBlanks" dxfId="111" priority="81">
      <formula>LEN(TRIM(D12))&gt;0</formula>
    </cfRule>
  </conditionalFormatting>
  <conditionalFormatting sqref="D3:D81">
    <cfRule type="containsText" dxfId="110" priority="82" operator="containsText" text="1.4">
      <formula>NOT(ISERROR(SEARCH(("1.4"),(D3))))</formula>
    </cfRule>
  </conditionalFormatting>
  <conditionalFormatting sqref="D3:AA81">
    <cfRule type="containsText" dxfId="109" priority="83" operator="containsText" text="1.8">
      <formula>NOT(ISERROR(SEARCH(("1.8"),(D3))))</formula>
    </cfRule>
  </conditionalFormatting>
  <dataValidations count="1">
    <dataValidation type="list" allowBlank="1" sqref="S3:S151" xr:uid="{00000000-0002-0000-0A00-000000000000}">
      <formula1>"Sony,Voigtlander,Zeiss,Sigma,Samyang,Viltrox,Tokina,Tamron"</formula1>
    </dataValidation>
  </dataValidations>
  <hyperlinks>
    <hyperlink ref="K1" r:id="rId1" xr:uid="{00000000-0004-0000-0A00-000000000000}"/>
    <hyperlink ref="M1" r:id="rId2" xr:uid="{00000000-0004-0000-0A00-000001000000}"/>
    <hyperlink ref="N1"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outlinePr summaryBelow="0" summaryRight="0"/>
  </sheetPr>
  <dimension ref="A1:U105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6.83203125" customWidth="1"/>
    <col min="2" max="2" width="6.5" customWidth="1"/>
    <col min="3" max="3" width="11" customWidth="1"/>
    <col min="4" max="4" width="8" customWidth="1"/>
    <col min="5" max="6" width="7.33203125" customWidth="1"/>
    <col min="7" max="7" width="4" customWidth="1"/>
    <col min="8" max="8" width="7.1640625" customWidth="1"/>
    <col min="9" max="9" width="4.5" customWidth="1"/>
    <col min="10" max="10" width="7.6640625" customWidth="1"/>
    <col min="11" max="14" width="4" customWidth="1"/>
    <col min="15" max="15" width="7.5" customWidth="1"/>
    <col min="16" max="16" width="5.5" customWidth="1"/>
    <col min="17" max="17" width="5" customWidth="1"/>
    <col min="18" max="18" width="6.1640625" customWidth="1"/>
    <col min="19" max="19" width="13.33203125" customWidth="1"/>
    <col min="20" max="20" width="5.83203125" customWidth="1"/>
  </cols>
  <sheetData>
    <row r="1" spans="1:21" ht="76.5" customHeight="1">
      <c r="A1" s="330" t="s">
        <v>0</v>
      </c>
      <c r="B1" s="3" t="s">
        <v>1</v>
      </c>
      <c r="C1" s="3" t="s">
        <v>223</v>
      </c>
      <c r="D1" s="4" t="s">
        <v>3</v>
      </c>
      <c r="E1" s="5" t="s">
        <v>4</v>
      </c>
      <c r="F1" s="6" t="s">
        <v>5</v>
      </c>
      <c r="G1" s="7" t="s">
        <v>6</v>
      </c>
      <c r="H1" s="8" t="s">
        <v>7</v>
      </c>
      <c r="I1" s="3" t="s">
        <v>8</v>
      </c>
      <c r="J1" s="9" t="s">
        <v>17</v>
      </c>
      <c r="K1" s="10" t="s">
        <v>18</v>
      </c>
      <c r="L1" s="11" t="s">
        <v>19</v>
      </c>
      <c r="M1" s="10" t="s">
        <v>20</v>
      </c>
      <c r="N1" s="12" t="s">
        <v>21</v>
      </c>
      <c r="O1" s="3" t="s">
        <v>10</v>
      </c>
      <c r="P1" s="5" t="s">
        <v>11</v>
      </c>
      <c r="Q1" s="3" t="s">
        <v>12</v>
      </c>
      <c r="R1" s="3" t="s">
        <v>13</v>
      </c>
      <c r="S1" s="3" t="s">
        <v>14</v>
      </c>
      <c r="T1" s="3" t="s">
        <v>15</v>
      </c>
      <c r="U1" s="13" t="s">
        <v>225</v>
      </c>
    </row>
    <row r="2" spans="1:21" ht="18" hidden="1" customHeight="1">
      <c r="A2" s="14" t="s">
        <v>23</v>
      </c>
      <c r="B2" s="15"/>
      <c r="C2" s="15"/>
      <c r="D2" s="15"/>
      <c r="E2" s="15"/>
      <c r="F2" s="15"/>
      <c r="G2" s="16"/>
      <c r="H2" s="17"/>
      <c r="I2" s="15"/>
      <c r="J2" s="15"/>
      <c r="K2" s="15"/>
      <c r="L2" s="15"/>
      <c r="M2" s="15"/>
      <c r="N2" s="15"/>
      <c r="O2" s="15"/>
      <c r="P2" s="16"/>
      <c r="Q2" s="15"/>
      <c r="R2" s="16"/>
      <c r="S2" s="18"/>
      <c r="T2" s="16"/>
    </row>
    <row r="3" spans="1:21" ht="13" hidden="1">
      <c r="A3" s="198" t="str">
        <f t="array" ref="A3:A6">All!A3:M36</f>
        <v>Zuiko Fisheye 8mm f2.8</v>
      </c>
      <c r="B3" s="60"/>
      <c r="C3" s="74"/>
      <c r="D3" s="64"/>
      <c r="E3" s="245"/>
      <c r="F3" s="322"/>
      <c r="G3" s="119"/>
      <c r="H3" s="72"/>
      <c r="I3" s="74"/>
      <c r="J3" s="74"/>
      <c r="K3" s="121"/>
      <c r="L3" s="121"/>
      <c r="M3" s="121"/>
      <c r="N3" s="121"/>
      <c r="O3" s="74"/>
      <c r="P3" s="70"/>
      <c r="Q3" s="74"/>
      <c r="R3" s="86"/>
      <c r="S3" s="74"/>
      <c r="T3" s="74"/>
    </row>
    <row r="4" spans="1:21" ht="15" hidden="1">
      <c r="A4" s="335" t="str">
        <v>Zuiko Full Frame Fisheye 16mm f2.5</v>
      </c>
      <c r="B4" s="60"/>
      <c r="C4" s="74"/>
      <c r="D4" s="64"/>
      <c r="E4" s="65"/>
      <c r="F4" s="65"/>
      <c r="G4" s="70"/>
      <c r="H4" s="72"/>
      <c r="I4" s="74"/>
      <c r="J4" s="74"/>
      <c r="K4" s="113"/>
      <c r="L4" s="113"/>
      <c r="M4" s="113"/>
      <c r="N4" s="113"/>
      <c r="O4" s="74"/>
      <c r="P4" s="70"/>
      <c r="Q4" s="74"/>
      <c r="R4" s="86"/>
      <c r="S4" s="74"/>
      <c r="T4" s="74"/>
    </row>
    <row r="5" spans="1:21" ht="13" hidden="1">
      <c r="A5" s="198" t="str">
        <v>Zuiko 18mm f3.5</v>
      </c>
      <c r="B5" s="60"/>
      <c r="C5" s="74"/>
      <c r="D5" s="64"/>
      <c r="E5" s="248"/>
      <c r="F5" s="324"/>
      <c r="G5" s="325"/>
      <c r="H5" s="72"/>
      <c r="I5" s="74"/>
      <c r="J5" s="74"/>
      <c r="K5" s="113"/>
      <c r="L5" s="113"/>
      <c r="M5" s="113"/>
      <c r="N5" s="113"/>
      <c r="O5" s="74"/>
      <c r="P5" s="70"/>
      <c r="Q5" s="74"/>
      <c r="R5" s="86"/>
      <c r="S5" s="74"/>
      <c r="T5" s="74"/>
    </row>
    <row r="6" spans="1:21" ht="13" hidden="1">
      <c r="A6" s="196" t="str">
        <v>Zuiko 21mm f2</v>
      </c>
      <c r="B6" s="60">
        <v>375</v>
      </c>
      <c r="C6" s="67">
        <v>10</v>
      </c>
      <c r="D6" s="64">
        <v>5.6</v>
      </c>
      <c r="E6" s="245">
        <v>67</v>
      </c>
      <c r="F6" s="322" t="s">
        <v>24</v>
      </c>
      <c r="G6" s="119" t="s">
        <v>25</v>
      </c>
      <c r="H6" s="72" t="s">
        <v>26</v>
      </c>
      <c r="I6" s="74">
        <v>6.7000000000000004E-2</v>
      </c>
      <c r="J6" s="76">
        <v>1099</v>
      </c>
      <c r="K6" s="121" t="str">
        <f>HYPERLINK("https://amzn.to/2jJ8WxH","link*")</f>
        <v>link*</v>
      </c>
      <c r="L6" s="121" t="str">
        <f>HYPERLINK("https://www.bhphotovideo.com/c/product/1219550-REG/voigtlander_ba334b_heliar_hyper_wide_10mm_f_5_6.html/BI/19619/KBID/12129/DFF/d10-v21-t1-x732282/SID/EZ","link*")</f>
        <v>link*</v>
      </c>
      <c r="M6" s="121" t="str">
        <f>HYPERLINK("https://amzn.to/2jG72hr","link*")</f>
        <v>link*</v>
      </c>
      <c r="N6" s="121"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O6" s="84">
        <v>30</v>
      </c>
      <c r="P6" s="70" t="s">
        <v>27</v>
      </c>
      <c r="Q6" s="74">
        <v>10</v>
      </c>
      <c r="R6" s="86" t="s">
        <v>28</v>
      </c>
      <c r="S6" s="74" t="s">
        <v>29</v>
      </c>
      <c r="T6" s="74" t="s">
        <v>210</v>
      </c>
      <c r="U6" s="77" t="s">
        <v>34</v>
      </c>
    </row>
    <row r="7" spans="1:21" ht="13" hidden="1">
      <c r="A7" s="323" t="s">
        <v>35</v>
      </c>
      <c r="B7" s="60">
        <v>565</v>
      </c>
      <c r="C7" s="67">
        <v>12</v>
      </c>
      <c r="D7" s="64">
        <v>4</v>
      </c>
      <c r="E7" s="65">
        <v>87</v>
      </c>
      <c r="F7" s="65">
        <v>117</v>
      </c>
      <c r="G7" s="70" t="s">
        <v>36</v>
      </c>
      <c r="H7" s="72" t="s">
        <v>26</v>
      </c>
      <c r="I7" s="74">
        <v>0.14000000000000001</v>
      </c>
      <c r="J7" s="76">
        <v>1699</v>
      </c>
      <c r="K7" s="121" t="str">
        <f>HYPERLINK("https://amzn.to/2SSzKc4","link*")</f>
        <v>link*</v>
      </c>
      <c r="L7" s="121" t="str">
        <f>HYPERLINK("https://www.bhphotovideo.com/c/product/1338517-REG/sony_sel1224g_fe_12_24mm_f_4_g.html/BI/19619/KBID/12129/DFF/d10-v21-t1-x822838/SID/EZ","link*")</f>
        <v>link*</v>
      </c>
      <c r="M7" s="121" t="str">
        <f>HYPERLINK("https://amzn.to/2Kg94zb","link*")</f>
        <v>link*</v>
      </c>
      <c r="N7" s="121"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7" s="84">
        <v>24</v>
      </c>
      <c r="P7" s="70" t="s">
        <v>27</v>
      </c>
      <c r="Q7" s="74">
        <v>7</v>
      </c>
      <c r="R7" s="86" t="s">
        <v>40</v>
      </c>
      <c r="S7" s="74" t="s">
        <v>41</v>
      </c>
      <c r="T7" s="74" t="s">
        <v>211</v>
      </c>
    </row>
    <row r="8" spans="1:21" ht="13" hidden="1">
      <c r="A8" s="323"/>
      <c r="B8" s="60"/>
      <c r="C8" s="74"/>
      <c r="D8" s="64"/>
      <c r="E8" s="65"/>
      <c r="F8" s="65"/>
      <c r="G8" s="74"/>
      <c r="H8" s="72"/>
      <c r="I8" s="74"/>
      <c r="J8" s="74"/>
      <c r="K8" s="113"/>
      <c r="L8" s="113"/>
      <c r="M8" s="113"/>
      <c r="N8" s="113"/>
      <c r="O8" s="74"/>
      <c r="P8" s="70"/>
      <c r="Q8" s="74"/>
      <c r="R8" s="112"/>
      <c r="S8" s="74"/>
      <c r="T8" s="125"/>
    </row>
    <row r="9" spans="1:21" ht="13" hidden="1">
      <c r="A9" s="198"/>
      <c r="B9" s="60"/>
      <c r="C9" s="74"/>
      <c r="D9" s="64"/>
      <c r="E9" s="248"/>
      <c r="F9" s="324"/>
      <c r="G9" s="325"/>
      <c r="H9" s="72"/>
      <c r="I9" s="74"/>
      <c r="J9" s="74"/>
      <c r="K9" s="113"/>
      <c r="L9" s="113"/>
      <c r="M9" s="113"/>
      <c r="N9" s="113"/>
      <c r="O9" s="74"/>
      <c r="P9" s="70"/>
      <c r="Q9" s="74"/>
      <c r="R9" s="136"/>
      <c r="S9" s="74"/>
      <c r="T9" s="74"/>
    </row>
    <row r="10" spans="1:21" ht="13" hidden="1">
      <c r="A10" s="198"/>
      <c r="B10" s="60"/>
      <c r="C10" s="74"/>
      <c r="D10" s="64"/>
      <c r="E10" s="65"/>
      <c r="F10" s="65"/>
      <c r="G10" s="70"/>
      <c r="H10" s="72"/>
      <c r="I10" s="74"/>
      <c r="J10" s="74"/>
      <c r="K10" s="121"/>
      <c r="L10" s="121"/>
      <c r="M10" s="121"/>
      <c r="N10" s="121"/>
      <c r="O10" s="74"/>
      <c r="P10" s="134"/>
      <c r="Q10" s="74"/>
      <c r="R10" s="136"/>
      <c r="S10" s="74"/>
      <c r="T10" s="74"/>
    </row>
    <row r="11" spans="1:21" ht="13" hidden="1">
      <c r="A11" s="323"/>
      <c r="B11" s="60"/>
      <c r="C11" s="74"/>
      <c r="D11" s="64"/>
      <c r="E11" s="65"/>
      <c r="F11" s="65"/>
      <c r="G11" s="70"/>
      <c r="H11" s="72"/>
      <c r="I11" s="74"/>
      <c r="J11" s="74"/>
      <c r="K11" s="113"/>
      <c r="L11" s="113"/>
      <c r="M11" s="113"/>
      <c r="N11" s="113"/>
      <c r="O11" s="74"/>
      <c r="P11" s="70"/>
      <c r="Q11" s="74"/>
      <c r="R11" s="136"/>
      <c r="S11" s="74"/>
      <c r="T11" s="74"/>
    </row>
    <row r="12" spans="1:21" ht="13" hidden="1">
      <c r="A12" s="572"/>
      <c r="B12" s="60"/>
      <c r="C12" s="74"/>
      <c r="D12" s="64"/>
      <c r="E12" s="152"/>
      <c r="F12" s="65"/>
      <c r="G12" s="70"/>
      <c r="H12" s="72"/>
      <c r="I12" s="74"/>
      <c r="J12" s="573"/>
      <c r="K12" s="113"/>
      <c r="L12" s="113"/>
      <c r="M12" s="113"/>
      <c r="N12" s="113"/>
      <c r="O12" s="74"/>
      <c r="P12" s="70"/>
      <c r="Q12" s="74"/>
      <c r="R12" s="136"/>
      <c r="S12" s="74"/>
      <c r="T12" s="74"/>
    </row>
    <row r="13" spans="1:21" ht="13" hidden="1">
      <c r="A13" s="198"/>
      <c r="B13" s="60"/>
      <c r="C13" s="74"/>
      <c r="D13" s="64"/>
      <c r="E13" s="65"/>
      <c r="F13" s="65"/>
      <c r="G13" s="70"/>
      <c r="H13" s="72"/>
      <c r="I13" s="74"/>
      <c r="J13" s="74"/>
      <c r="K13" s="113"/>
      <c r="L13" s="113"/>
      <c r="M13" s="113"/>
      <c r="N13" s="113"/>
      <c r="O13" s="74"/>
      <c r="P13" s="70"/>
      <c r="Q13" s="74"/>
      <c r="R13" s="136"/>
      <c r="S13" s="74"/>
      <c r="T13" s="125"/>
    </row>
    <row r="14" spans="1:21" ht="15.75" hidden="1" customHeight="1">
      <c r="A14" s="198" t="str">
        <f>HYPERLINK("https://phillipreeve.net/blog/review-voigtlander-12mm-5-6-aspherical-ultra-wide-heliar/","Voigtlander 12mm F5.6 Ultra Wide-Heliar Aspherical")</f>
        <v>Voigtlander 12mm F5.6 Ultra Wide-Heliar Aspherical</v>
      </c>
      <c r="B14" s="60">
        <v>350</v>
      </c>
      <c r="C14" s="67">
        <v>12</v>
      </c>
      <c r="D14" s="64">
        <v>5.6</v>
      </c>
      <c r="E14" s="248">
        <v>67</v>
      </c>
      <c r="F14" s="324">
        <v>68</v>
      </c>
      <c r="G14" s="325" t="s">
        <v>25</v>
      </c>
      <c r="H14" s="72" t="s">
        <v>26</v>
      </c>
      <c r="I14" s="74"/>
      <c r="J14" s="76">
        <v>749</v>
      </c>
      <c r="K14" s="113"/>
      <c r="L14" s="113"/>
      <c r="M14" s="113"/>
      <c r="N14" s="121"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O14" s="84">
        <v>30</v>
      </c>
      <c r="P14" s="70" t="s">
        <v>27</v>
      </c>
      <c r="Q14" s="74">
        <v>10</v>
      </c>
      <c r="R14" s="86" t="s">
        <v>43</v>
      </c>
      <c r="S14" s="74" t="s">
        <v>29</v>
      </c>
      <c r="T14" s="74" t="s">
        <v>212</v>
      </c>
      <c r="U14" s="77" t="s">
        <v>46</v>
      </c>
    </row>
    <row r="15" spans="1:21" ht="13" hidden="1">
      <c r="A15" s="323"/>
      <c r="B15" s="60"/>
      <c r="C15" s="74"/>
      <c r="D15" s="100"/>
      <c r="E15" s="65"/>
      <c r="F15" s="65"/>
      <c r="G15" s="328"/>
      <c r="H15" s="72"/>
      <c r="I15" s="74"/>
      <c r="J15" s="74"/>
      <c r="K15" s="113"/>
      <c r="L15" s="113"/>
      <c r="M15" s="113"/>
      <c r="N15" s="113"/>
      <c r="O15" s="74"/>
      <c r="P15" s="70"/>
      <c r="Q15" s="74"/>
      <c r="R15" s="112"/>
      <c r="S15" s="74"/>
      <c r="T15" s="125"/>
    </row>
    <row r="16" spans="1:21" ht="13" hidden="1">
      <c r="A16" s="198"/>
      <c r="B16" s="60"/>
      <c r="C16" s="74"/>
      <c r="D16" s="173"/>
      <c r="E16" s="248"/>
      <c r="F16" s="65"/>
      <c r="G16" s="325"/>
      <c r="H16" s="72"/>
      <c r="I16" s="74"/>
      <c r="J16" s="574"/>
      <c r="K16" s="121"/>
      <c r="L16" s="121"/>
      <c r="M16" s="121"/>
      <c r="N16" s="121"/>
      <c r="O16" s="74"/>
      <c r="P16" s="70"/>
      <c r="Q16" s="74"/>
      <c r="R16" s="136"/>
      <c r="S16" s="74"/>
      <c r="T16" s="125"/>
    </row>
    <row r="17" spans="1:21" ht="13" hidden="1">
      <c r="A17" s="323"/>
      <c r="B17" s="60"/>
      <c r="C17" s="74"/>
      <c r="D17" s="173"/>
      <c r="E17" s="152"/>
      <c r="F17" s="65"/>
      <c r="G17" s="70"/>
      <c r="H17" s="72"/>
      <c r="I17" s="74"/>
      <c r="J17" s="74"/>
      <c r="K17" s="113"/>
      <c r="L17" s="113"/>
      <c r="M17" s="113"/>
      <c r="N17" s="113"/>
      <c r="O17" s="74"/>
      <c r="P17" s="70"/>
      <c r="Q17" s="74"/>
      <c r="R17" s="136"/>
      <c r="S17" s="74"/>
      <c r="T17" s="125"/>
    </row>
    <row r="18" spans="1:21" ht="13" hidden="1">
      <c r="A18" s="572"/>
      <c r="B18" s="60"/>
      <c r="C18" s="74"/>
      <c r="D18" s="192"/>
      <c r="E18" s="152"/>
      <c r="F18" s="65"/>
      <c r="G18" s="70"/>
      <c r="H18" s="72"/>
      <c r="I18" s="74"/>
      <c r="J18" s="74"/>
      <c r="K18" s="113"/>
      <c r="L18" s="113"/>
      <c r="M18" s="113"/>
      <c r="N18" s="113"/>
      <c r="O18" s="74"/>
      <c r="P18" s="70"/>
      <c r="Q18" s="74"/>
      <c r="R18" s="136"/>
      <c r="S18" s="74"/>
      <c r="T18" s="74"/>
    </row>
    <row r="19" spans="1:21" ht="13" hidden="1">
      <c r="A19" s="198"/>
      <c r="B19" s="60"/>
      <c r="C19" s="74"/>
      <c r="D19" s="64"/>
      <c r="E19" s="248"/>
      <c r="F19" s="324"/>
      <c r="G19" s="325"/>
      <c r="H19" s="72"/>
      <c r="I19" s="125"/>
      <c r="J19" s="74"/>
      <c r="K19" s="113"/>
      <c r="L19" s="113"/>
      <c r="M19" s="113"/>
      <c r="N19" s="113"/>
      <c r="O19" s="74"/>
      <c r="P19" s="70"/>
      <c r="Q19" s="74"/>
      <c r="R19" s="136"/>
      <c r="S19" s="74"/>
      <c r="T19" s="125"/>
    </row>
    <row r="20" spans="1:21" ht="13" hidden="1">
      <c r="A20" s="198"/>
      <c r="B20" s="60"/>
      <c r="C20" s="74"/>
      <c r="D20" s="64"/>
      <c r="E20" s="65"/>
      <c r="F20" s="381"/>
      <c r="G20" s="325"/>
      <c r="H20" s="72"/>
      <c r="I20" s="125"/>
      <c r="J20" s="74"/>
      <c r="K20" s="121"/>
      <c r="L20" s="121"/>
      <c r="M20" s="113"/>
      <c r="N20" s="121"/>
      <c r="O20" s="74"/>
      <c r="P20" s="70"/>
      <c r="Q20" s="74"/>
      <c r="R20" s="136"/>
      <c r="S20" s="74"/>
      <c r="T20" s="74"/>
    </row>
    <row r="21" spans="1:21" ht="13" hidden="1">
      <c r="A21" s="198"/>
      <c r="B21" s="60"/>
      <c r="C21" s="74"/>
      <c r="D21" s="192"/>
      <c r="E21" s="65"/>
      <c r="F21" s="65"/>
      <c r="G21" s="70"/>
      <c r="H21" s="72"/>
      <c r="I21" s="74"/>
      <c r="J21" s="74"/>
      <c r="K21" s="113"/>
      <c r="L21" s="113"/>
      <c r="M21" s="113"/>
      <c r="N21" s="113"/>
      <c r="O21" s="74"/>
      <c r="P21" s="70"/>
      <c r="Q21" s="74"/>
      <c r="R21" s="136"/>
      <c r="S21" s="74"/>
      <c r="T21" s="74"/>
    </row>
    <row r="22" spans="1:21" ht="13" hidden="1">
      <c r="A22" s="196" t="str">
        <f>HYPERLINK("https://phillipreeve.net/blog/review-voigtlander-10mm-5-6-e-hyper-wide-heliar/","Voigtlander 10mm F5.6 Hyper Wide ")</f>
        <v xml:space="preserve">Voigtlander 10mm F5.6 Hyper Wide </v>
      </c>
      <c r="B22" s="60">
        <v>375</v>
      </c>
      <c r="C22" s="67">
        <v>10</v>
      </c>
      <c r="D22" s="64">
        <v>5.6</v>
      </c>
      <c r="E22" s="245">
        <v>67</v>
      </c>
      <c r="F22" s="322" t="s">
        <v>24</v>
      </c>
      <c r="G22" s="119" t="s">
        <v>25</v>
      </c>
      <c r="H22" s="72" t="s">
        <v>26</v>
      </c>
      <c r="I22" s="74">
        <v>6.7000000000000004E-2</v>
      </c>
      <c r="J22" s="76">
        <v>1099</v>
      </c>
      <c r="K22" s="79" t="str">
        <f>HYPERLINK("https://amzn.to/2jJ8WxH","link*")</f>
        <v>link*</v>
      </c>
      <c r="L22" s="79" t="str">
        <f>HYPERLINK("https://www.bhphotovideo.com/c/product/1219550-REG/voigtlander_ba334b_heliar_hyper_wide_10mm_f_5_6.html/BI/19619/KBID/12129/DFF/d10-v21-t1-x732282/SID/EZ","link*")</f>
        <v>link*</v>
      </c>
      <c r="M22" s="79" t="str">
        <f>HYPERLINK("https://amzn.to/2jG72hr","link*")</f>
        <v>link*</v>
      </c>
      <c r="N22" s="79"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O22" s="84">
        <v>30</v>
      </c>
      <c r="P22" s="70" t="s">
        <v>27</v>
      </c>
      <c r="Q22" s="74">
        <v>10</v>
      </c>
      <c r="R22" s="86" t="s">
        <v>28</v>
      </c>
      <c r="S22" s="74" t="s">
        <v>29</v>
      </c>
      <c r="T22" s="74" t="s">
        <v>210</v>
      </c>
      <c r="U22" s="77" t="s">
        <v>34</v>
      </c>
    </row>
    <row r="23" spans="1:21" ht="13" hidden="1">
      <c r="A23" s="198"/>
      <c r="B23" s="60"/>
      <c r="C23" s="74"/>
      <c r="D23" s="64"/>
      <c r="E23" s="65"/>
      <c r="F23" s="65"/>
      <c r="G23" s="70"/>
      <c r="H23" s="72"/>
      <c r="I23" s="74"/>
      <c r="J23" s="574"/>
      <c r="K23" s="121"/>
      <c r="L23" s="121"/>
      <c r="M23" s="121"/>
      <c r="N23" s="113"/>
      <c r="O23" s="74"/>
      <c r="P23" s="70"/>
      <c r="Q23" s="74"/>
      <c r="R23" s="136"/>
      <c r="S23" s="74"/>
      <c r="T23" s="125"/>
    </row>
    <row r="24" spans="1:21" ht="13" hidden="1">
      <c r="A24" s="198"/>
      <c r="B24" s="60"/>
      <c r="C24" s="74"/>
      <c r="D24" s="64"/>
      <c r="E24" s="65"/>
      <c r="F24" s="65"/>
      <c r="G24" s="70"/>
      <c r="H24" s="72"/>
      <c r="I24" s="201"/>
      <c r="J24" s="74"/>
      <c r="K24" s="113"/>
      <c r="L24" s="113"/>
      <c r="M24" s="113"/>
      <c r="N24" s="113"/>
      <c r="O24" s="74"/>
      <c r="P24" s="70"/>
      <c r="Q24" s="74"/>
      <c r="R24" s="136"/>
      <c r="S24" s="74"/>
      <c r="T24" s="74"/>
    </row>
    <row r="25" spans="1:21" ht="13" hidden="1">
      <c r="A25" s="323"/>
      <c r="B25" s="60"/>
      <c r="C25" s="74"/>
      <c r="D25" s="64"/>
      <c r="E25" s="65"/>
      <c r="F25" s="65"/>
      <c r="G25" s="70"/>
      <c r="H25" s="72"/>
      <c r="I25" s="201"/>
      <c r="J25" s="74"/>
      <c r="K25" s="121"/>
      <c r="L25" s="113"/>
      <c r="M25" s="121"/>
      <c r="N25" s="121"/>
      <c r="O25" s="74"/>
      <c r="P25" s="134"/>
      <c r="Q25" s="74"/>
      <c r="R25" s="136"/>
      <c r="S25" s="74"/>
      <c r="T25" s="74"/>
    </row>
    <row r="26" spans="1:21" ht="13" hidden="1">
      <c r="A26" s="323"/>
      <c r="B26" s="60"/>
      <c r="C26" s="74"/>
      <c r="D26" s="64"/>
      <c r="E26" s="65"/>
      <c r="F26" s="65"/>
      <c r="G26" s="70"/>
      <c r="H26" s="72"/>
      <c r="I26" s="201"/>
      <c r="J26" s="74"/>
      <c r="K26" s="113"/>
      <c r="L26" s="113"/>
      <c r="M26" s="113"/>
      <c r="N26" s="113"/>
      <c r="O26" s="74"/>
      <c r="P26" s="134"/>
      <c r="Q26" s="74"/>
      <c r="R26" s="136"/>
      <c r="S26" s="74"/>
      <c r="T26" s="74"/>
    </row>
    <row r="27" spans="1:21" ht="13" hidden="1">
      <c r="A27" s="198"/>
      <c r="B27" s="60"/>
      <c r="C27" s="74"/>
      <c r="D27" s="64"/>
      <c r="E27" s="65"/>
      <c r="F27" s="65"/>
      <c r="G27" s="70"/>
      <c r="H27" s="72"/>
      <c r="I27" s="74"/>
      <c r="J27" s="74"/>
      <c r="K27" s="121"/>
      <c r="L27" s="113"/>
      <c r="M27" s="121"/>
      <c r="N27" s="121"/>
      <c r="O27" s="74"/>
      <c r="P27" s="134"/>
      <c r="Q27" s="74"/>
      <c r="R27" s="136"/>
      <c r="S27" s="74"/>
      <c r="T27" s="74"/>
    </row>
    <row r="28" spans="1:21" ht="13" hidden="1">
      <c r="A28" s="198"/>
      <c r="B28" s="60"/>
      <c r="C28" s="74"/>
      <c r="D28" s="64"/>
      <c r="E28" s="65"/>
      <c r="F28" s="65"/>
      <c r="G28" s="70"/>
      <c r="H28" s="72"/>
      <c r="I28" s="74"/>
      <c r="J28" s="74"/>
      <c r="K28" s="113"/>
      <c r="L28" s="113"/>
      <c r="M28" s="113"/>
      <c r="N28" s="113"/>
      <c r="O28" s="74"/>
      <c r="P28" s="70"/>
      <c r="Q28" s="74"/>
      <c r="R28" s="136"/>
      <c r="S28" s="74"/>
      <c r="T28" s="125"/>
    </row>
    <row r="29" spans="1:21" ht="13" hidden="1">
      <c r="A29" s="198"/>
      <c r="B29" s="60"/>
      <c r="C29" s="74"/>
      <c r="D29" s="64"/>
      <c r="E29" s="65"/>
      <c r="F29" s="65"/>
      <c r="G29" s="325"/>
      <c r="H29" s="72"/>
      <c r="I29" s="74"/>
      <c r="J29" s="74"/>
      <c r="K29" s="113"/>
      <c r="L29" s="113"/>
      <c r="M29" s="113"/>
      <c r="N29" s="113"/>
      <c r="O29" s="74"/>
      <c r="P29" s="70"/>
      <c r="Q29" s="74"/>
      <c r="R29" s="136"/>
      <c r="S29" s="74"/>
      <c r="T29" s="125"/>
    </row>
    <row r="30" spans="1:21" ht="13" hidden="1">
      <c r="A30" s="323"/>
      <c r="B30" s="60"/>
      <c r="C30" s="74"/>
      <c r="D30" s="64"/>
      <c r="E30" s="65"/>
      <c r="F30" s="65"/>
      <c r="G30" s="70"/>
      <c r="H30" s="72"/>
      <c r="I30" s="74"/>
      <c r="J30" s="573"/>
      <c r="K30" s="113"/>
      <c r="L30" s="113"/>
      <c r="M30" s="113"/>
      <c r="N30" s="113"/>
      <c r="O30" s="74"/>
      <c r="P30" s="70"/>
      <c r="Q30" s="74"/>
      <c r="R30" s="136"/>
      <c r="S30" s="74"/>
      <c r="T30" s="74"/>
    </row>
    <row r="31" spans="1:21" ht="13" hidden="1">
      <c r="A31" s="198"/>
      <c r="B31" s="60"/>
      <c r="C31" s="74"/>
      <c r="D31" s="64"/>
      <c r="E31" s="65"/>
      <c r="F31" s="65"/>
      <c r="G31" s="70"/>
      <c r="H31" s="72"/>
      <c r="I31" s="74"/>
      <c r="J31" s="573"/>
      <c r="K31" s="113"/>
      <c r="L31" s="113"/>
      <c r="M31" s="113"/>
      <c r="N31" s="113"/>
      <c r="O31" s="74"/>
      <c r="P31" s="70"/>
      <c r="Q31" s="74"/>
      <c r="R31" s="136"/>
      <c r="S31" s="74"/>
      <c r="T31" s="74"/>
    </row>
    <row r="32" spans="1:21" ht="13" hidden="1">
      <c r="A32" s="198"/>
      <c r="B32" s="60"/>
      <c r="C32" s="74"/>
      <c r="D32" s="64"/>
      <c r="E32" s="65"/>
      <c r="F32" s="65"/>
      <c r="G32" s="70"/>
      <c r="H32" s="72"/>
      <c r="I32" s="201"/>
      <c r="J32" s="573"/>
      <c r="K32" s="113"/>
      <c r="L32" s="113"/>
      <c r="M32" s="113"/>
      <c r="N32" s="113"/>
      <c r="O32" s="74"/>
      <c r="P32" s="70"/>
      <c r="Q32" s="74"/>
      <c r="R32" s="136"/>
      <c r="S32" s="74"/>
      <c r="T32" s="125"/>
    </row>
    <row r="33" spans="1:20" ht="13" hidden="1">
      <c r="A33" s="323"/>
      <c r="B33" s="60"/>
      <c r="C33" s="74"/>
      <c r="D33" s="64"/>
      <c r="E33" s="65"/>
      <c r="F33" s="65"/>
      <c r="G33" s="70"/>
      <c r="H33" s="72"/>
      <c r="I33" s="125"/>
      <c r="J33" s="74"/>
      <c r="K33" s="113"/>
      <c r="L33" s="113"/>
      <c r="M33" s="113"/>
      <c r="N33" s="113"/>
      <c r="O33" s="125"/>
      <c r="P33" s="134"/>
      <c r="Q33" s="125"/>
      <c r="R33" s="86"/>
      <c r="S33" s="74"/>
      <c r="T33" s="74"/>
    </row>
    <row r="34" spans="1:20" ht="13" hidden="1">
      <c r="A34" s="323"/>
      <c r="B34" s="60"/>
      <c r="C34" s="74"/>
      <c r="D34" s="64"/>
      <c r="E34" s="65"/>
      <c r="F34" s="65"/>
      <c r="G34" s="70"/>
      <c r="H34" s="234"/>
      <c r="I34" s="125"/>
      <c r="J34" s="74"/>
      <c r="K34" s="113"/>
      <c r="L34" s="113"/>
      <c r="M34" s="113"/>
      <c r="N34" s="113"/>
      <c r="O34" s="125"/>
      <c r="P34" s="134"/>
      <c r="Q34" s="125"/>
      <c r="R34" s="86"/>
      <c r="S34" s="74"/>
      <c r="T34" s="74"/>
    </row>
    <row r="35" spans="1:20" ht="15.75" hidden="1" customHeight="1">
      <c r="A35" s="323" t="s">
        <v>35</v>
      </c>
      <c r="B35" s="60">
        <v>565</v>
      </c>
      <c r="C35" s="67">
        <v>12</v>
      </c>
      <c r="D35" s="64">
        <v>4</v>
      </c>
      <c r="E35" s="65">
        <v>87</v>
      </c>
      <c r="F35" s="65">
        <v>117</v>
      </c>
      <c r="G35" s="70" t="s">
        <v>36</v>
      </c>
      <c r="H35" s="72" t="s">
        <v>26</v>
      </c>
      <c r="I35" s="74">
        <v>0.14000000000000001</v>
      </c>
      <c r="J35" s="76">
        <v>1699</v>
      </c>
      <c r="K35" s="79" t="str">
        <f>HYPERLINK("https://amzn.to/2SSzKc4","link*")</f>
        <v>link*</v>
      </c>
      <c r="L35" s="79" t="str">
        <f>HYPERLINK("https://www.bhphotovideo.com/c/product/1338517-REG/sony_sel1224g_fe_12_24mm_f_4_g.html/BI/19619/KBID/12129/DFF/d10-v21-t1-x822838/SID/EZ","link*")</f>
        <v>link*</v>
      </c>
      <c r="M35" s="79" t="str">
        <f>HYPERLINK("https://amzn.to/2Kg94zb","link*")</f>
        <v>link*</v>
      </c>
      <c r="N35" s="79"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35" s="84">
        <v>24</v>
      </c>
      <c r="P35" s="70" t="s">
        <v>27</v>
      </c>
      <c r="Q35" s="74">
        <v>7</v>
      </c>
      <c r="R35" s="86" t="s">
        <v>40</v>
      </c>
      <c r="S35" s="74" t="s">
        <v>41</v>
      </c>
      <c r="T35" s="74" t="s">
        <v>211</v>
      </c>
    </row>
    <row r="36" spans="1:20" ht="13" hidden="1">
      <c r="A36" s="198"/>
      <c r="B36" s="60"/>
      <c r="C36" s="74"/>
      <c r="D36" s="64"/>
      <c r="E36" s="65"/>
      <c r="F36" s="65"/>
      <c r="G36" s="74"/>
      <c r="H36" s="72"/>
      <c r="I36" s="74"/>
      <c r="J36" s="74"/>
      <c r="K36" s="113"/>
      <c r="L36" s="113"/>
      <c r="M36" s="113"/>
      <c r="N36" s="113"/>
      <c r="O36" s="74"/>
      <c r="P36" s="70"/>
      <c r="Q36" s="74"/>
      <c r="R36" s="112"/>
      <c r="S36" s="74"/>
      <c r="T36" s="74"/>
    </row>
    <row r="37" spans="1:20" ht="13" hidden="1">
      <c r="A37" s="323"/>
      <c r="B37" s="60"/>
      <c r="C37" s="74"/>
      <c r="D37" s="64"/>
      <c r="E37" s="65"/>
      <c r="F37" s="65"/>
      <c r="G37" s="74"/>
      <c r="H37" s="72"/>
      <c r="I37" s="74"/>
      <c r="J37" s="74"/>
      <c r="K37" s="113"/>
      <c r="L37" s="113"/>
      <c r="M37" s="113"/>
      <c r="N37" s="113"/>
      <c r="O37" s="74"/>
      <c r="P37" s="70"/>
      <c r="Q37" s="74"/>
      <c r="R37" s="112"/>
      <c r="S37" s="74"/>
      <c r="T37" s="125"/>
    </row>
    <row r="38" spans="1:20" ht="13" hidden="1">
      <c r="A38" s="198"/>
      <c r="B38" s="60"/>
      <c r="C38" s="74"/>
      <c r="D38" s="64"/>
      <c r="E38" s="65"/>
      <c r="F38" s="65"/>
      <c r="G38" s="328"/>
      <c r="H38" s="72"/>
      <c r="I38" s="74"/>
      <c r="J38" s="74"/>
      <c r="K38" s="113"/>
      <c r="L38" s="113"/>
      <c r="M38" s="113"/>
      <c r="N38" s="113"/>
      <c r="O38" s="74"/>
      <c r="P38" s="70"/>
      <c r="Q38" s="74"/>
      <c r="R38" s="112"/>
      <c r="S38" s="74"/>
      <c r="T38" s="74"/>
    </row>
    <row r="39" spans="1:20" ht="15.75" hidden="1" customHeight="1">
      <c r="A39" s="323" t="s">
        <v>56</v>
      </c>
      <c r="B39" s="60">
        <v>505</v>
      </c>
      <c r="C39" s="67">
        <v>14</v>
      </c>
      <c r="D39" s="64">
        <v>2.8</v>
      </c>
      <c r="E39" s="65">
        <v>86</v>
      </c>
      <c r="F39" s="65">
        <v>98</v>
      </c>
      <c r="G39" s="74" t="s">
        <v>36</v>
      </c>
      <c r="H39" s="72" t="s">
        <v>26</v>
      </c>
      <c r="I39" s="74">
        <v>0.12</v>
      </c>
      <c r="J39" s="76">
        <v>799</v>
      </c>
      <c r="K39" s="79" t="str">
        <f>HYPERLINK("https://amzn.to/2SX2HUi","link*")</f>
        <v>link*</v>
      </c>
      <c r="L39" s="79" t="str">
        <f>HYPERLINK("https://www.bhphotovideo.com/c/product/1352863-REG/samyang_syio14af_e_14mm_f_2_8_f_f_wide.html/BI/19619/KBID/12129/DFF/d10-v21-t1-x837928/SID/EZ","link*")</f>
        <v>link*</v>
      </c>
      <c r="M39" s="79" t="str">
        <f>HYPERLINK("https://amzn.to/31hwSIL","link*")</f>
        <v>link*</v>
      </c>
      <c r="N39" s="79"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39" s="84">
        <v>20</v>
      </c>
      <c r="P39" s="70" t="s">
        <v>27</v>
      </c>
      <c r="Q39" s="74">
        <v>7</v>
      </c>
      <c r="R39" s="112">
        <v>43752</v>
      </c>
      <c r="S39" s="74" t="s">
        <v>38</v>
      </c>
      <c r="T39" s="125"/>
    </row>
    <row r="40" spans="1:20" ht="13" hidden="1">
      <c r="A40" s="323"/>
      <c r="B40" s="60"/>
      <c r="C40" s="74"/>
      <c r="D40" s="64"/>
      <c r="E40" s="65"/>
      <c r="F40" s="65"/>
      <c r="G40" s="74"/>
      <c r="H40" s="72"/>
      <c r="I40" s="239"/>
      <c r="J40" s="74"/>
      <c r="K40" s="113"/>
      <c r="L40" s="113"/>
      <c r="M40" s="113"/>
      <c r="N40" s="113"/>
      <c r="O40" s="74"/>
      <c r="P40" s="70"/>
      <c r="Q40" s="74"/>
      <c r="R40" s="112"/>
      <c r="S40" s="74"/>
      <c r="T40" s="74"/>
    </row>
    <row r="41" spans="1:20" ht="13" hidden="1">
      <c r="A41" s="198"/>
      <c r="B41" s="60"/>
      <c r="C41" s="74"/>
      <c r="D41" s="64"/>
      <c r="E41" s="65"/>
      <c r="F41" s="65"/>
      <c r="G41" s="328"/>
      <c r="H41" s="72"/>
      <c r="I41" s="74"/>
      <c r="J41" s="74"/>
      <c r="K41" s="113"/>
      <c r="L41" s="113"/>
      <c r="M41" s="113"/>
      <c r="N41" s="113"/>
      <c r="O41" s="74"/>
      <c r="P41" s="70"/>
      <c r="Q41" s="74"/>
      <c r="R41" s="112"/>
      <c r="S41" s="74"/>
      <c r="T41" s="125"/>
    </row>
    <row r="42" spans="1:20" ht="13" hidden="1">
      <c r="A42" s="198"/>
      <c r="B42" s="60"/>
      <c r="C42" s="74"/>
      <c r="D42" s="64"/>
      <c r="E42" s="65"/>
      <c r="F42" s="65"/>
      <c r="G42" s="74"/>
      <c r="H42" s="72"/>
      <c r="I42" s="74"/>
      <c r="J42" s="74"/>
      <c r="K42" s="113"/>
      <c r="L42" s="113"/>
      <c r="M42" s="113"/>
      <c r="N42" s="113"/>
      <c r="O42" s="74"/>
      <c r="P42" s="70"/>
      <c r="Q42" s="74"/>
      <c r="R42" s="112"/>
      <c r="S42" s="74"/>
      <c r="T42" s="74"/>
    </row>
    <row r="43" spans="1:20" ht="13" hidden="1">
      <c r="A43" s="323"/>
      <c r="B43" s="60"/>
      <c r="C43" s="74"/>
      <c r="D43" s="64"/>
      <c r="E43" s="65"/>
      <c r="F43" s="65"/>
      <c r="G43" s="74"/>
      <c r="H43" s="72"/>
      <c r="I43" s="74"/>
      <c r="J43" s="604"/>
      <c r="K43" s="113"/>
      <c r="L43" s="113"/>
      <c r="M43" s="113"/>
      <c r="N43" s="113"/>
      <c r="O43" s="74"/>
      <c r="P43" s="70"/>
      <c r="Q43" s="74"/>
      <c r="R43" s="112"/>
      <c r="S43" s="74"/>
      <c r="T43" s="74"/>
    </row>
    <row r="44" spans="1:20" ht="13" hidden="1">
      <c r="A44" s="323"/>
      <c r="B44" s="60"/>
      <c r="C44" s="74"/>
      <c r="D44" s="304"/>
      <c r="E44" s="65"/>
      <c r="F44" s="65"/>
      <c r="G44" s="328"/>
      <c r="H44" s="72"/>
      <c r="I44" s="74"/>
      <c r="J44" s="74"/>
      <c r="K44" s="113"/>
      <c r="L44" s="113"/>
      <c r="M44" s="113"/>
      <c r="N44" s="113"/>
      <c r="O44" s="74"/>
      <c r="P44" s="70"/>
      <c r="Q44" s="74"/>
      <c r="R44" s="112"/>
      <c r="S44" s="74"/>
      <c r="T44" s="74"/>
    </row>
    <row r="45" spans="1:20" ht="13" hidden="1">
      <c r="A45" s="196" t="str">
        <f>HYPERLINK("https://phillipreeve.net/blog/review-voigtlander-15mm-4-5-e-super-wide-heliar/","Voigtlander 15mm F4.5 Super Wide Heliar")</f>
        <v>Voigtlander 15mm F4.5 Super Wide Heliar</v>
      </c>
      <c r="B45" s="60">
        <v>298</v>
      </c>
      <c r="C45" s="67">
        <v>15</v>
      </c>
      <c r="D45" s="64">
        <v>4.5</v>
      </c>
      <c r="E45" s="248">
        <v>67</v>
      </c>
      <c r="F45" s="324">
        <v>62</v>
      </c>
      <c r="G45" s="325" t="s">
        <v>25</v>
      </c>
      <c r="H45" s="72" t="s">
        <v>71</v>
      </c>
      <c r="I45" s="74">
        <v>8.3000000000000004E-2</v>
      </c>
      <c r="J45" s="76">
        <v>799</v>
      </c>
      <c r="K45" s="79" t="str">
        <f>HYPERLINK("https://amzn.to/2YwplrQ","link*")</f>
        <v>link*</v>
      </c>
      <c r="L45" s="79" t="str">
        <f>HYPERLINK("https://www.bhphotovideo.com/c/product/1219549-REG/voigtlander_ba329b_super_wide_heliar_15mm_f_4_5.html/BI/19619/KBID/12129/DFF/d10-v21-t1-x618202/SID/EZ","link*")</f>
        <v>link*</v>
      </c>
      <c r="M45" s="79" t="str">
        <f>HYPERLINK("https://amzn.to/2ZpTKt5","link*")</f>
        <v>link*</v>
      </c>
      <c r="N45" s="79"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O45" s="84">
        <v>30</v>
      </c>
      <c r="P45" s="70" t="s">
        <v>27</v>
      </c>
      <c r="Q45" s="74">
        <v>10</v>
      </c>
      <c r="R45" s="136" t="s">
        <v>43</v>
      </c>
      <c r="S45" s="74" t="s">
        <v>29</v>
      </c>
      <c r="T45" s="74" t="s">
        <v>214</v>
      </c>
    </row>
    <row r="46" spans="1:20" ht="13" hidden="1">
      <c r="A46" s="323"/>
      <c r="B46" s="60"/>
      <c r="C46" s="74"/>
      <c r="D46" s="64"/>
      <c r="E46" s="65"/>
      <c r="F46" s="65"/>
      <c r="G46" s="74"/>
      <c r="H46" s="72"/>
      <c r="I46" s="239"/>
      <c r="J46" s="74"/>
      <c r="K46" s="113"/>
      <c r="L46" s="113"/>
      <c r="M46" s="113"/>
      <c r="N46" s="113"/>
      <c r="O46" s="74"/>
      <c r="P46" s="70"/>
      <c r="Q46" s="74"/>
      <c r="R46" s="112"/>
      <c r="S46" s="74"/>
      <c r="T46" s="125"/>
    </row>
    <row r="47" spans="1:20" ht="13" hidden="1">
      <c r="A47" s="337"/>
      <c r="B47" s="60"/>
      <c r="C47" s="74"/>
      <c r="D47" s="64"/>
      <c r="E47" s="65"/>
      <c r="F47" s="65"/>
      <c r="G47" s="74"/>
      <c r="H47" s="72"/>
      <c r="I47" s="74"/>
      <c r="J47" s="574"/>
      <c r="K47" s="113"/>
      <c r="L47" s="113"/>
      <c r="M47" s="113"/>
      <c r="N47" s="113"/>
      <c r="O47" s="74"/>
      <c r="P47" s="70"/>
      <c r="Q47" s="74"/>
      <c r="R47" s="112"/>
      <c r="S47" s="74"/>
      <c r="T47" s="125"/>
    </row>
    <row r="48" spans="1:20" ht="13" hidden="1">
      <c r="A48" s="196" t="str">
        <f>HYPERLINK("https://phillipreeve.net/blog/sony-fe-16-35mm-f4-za-t-review/","Sony ZA 4/16-35 OSS ")</f>
        <v xml:space="preserve">Sony ZA 4/16-35 OSS </v>
      </c>
      <c r="B48" s="60">
        <v>523</v>
      </c>
      <c r="C48" s="67">
        <v>16</v>
      </c>
      <c r="D48" s="64">
        <v>4</v>
      </c>
      <c r="E48" s="65">
        <v>78</v>
      </c>
      <c r="F48" s="65">
        <v>98</v>
      </c>
      <c r="G48" s="70" t="s">
        <v>36</v>
      </c>
      <c r="H48" s="72" t="s">
        <v>64</v>
      </c>
      <c r="I48" s="74">
        <v>0.19</v>
      </c>
      <c r="J48" s="76">
        <v>1349</v>
      </c>
      <c r="K48" s="79" t="str">
        <f>HYPERLINK("http://amzn.to/2v2sY7q","link*")</f>
        <v>link*</v>
      </c>
      <c r="L48" s="79" t="str">
        <f>HYPERLINK("https://www.bhphotovideo.com/c/product/1380866-REG/sony_16_35mm_f_4_vario_tsr.html/BI/19619/KBID/12129/kw/SO16354F/DFF/d10-v2-t1-xSO16354F","link*")</f>
        <v>link*</v>
      </c>
      <c r="M48" s="79" t="str">
        <f>HYPERLINK("http://amzn.to/2wyMLuP","link*")</f>
        <v>link*</v>
      </c>
      <c r="N48" s="7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48" s="84">
        <v>28</v>
      </c>
      <c r="P48" s="134" t="s">
        <v>66</v>
      </c>
      <c r="Q48" s="74">
        <v>7</v>
      </c>
      <c r="R48" s="136" t="s">
        <v>43</v>
      </c>
      <c r="S48" s="74" t="s">
        <v>41</v>
      </c>
      <c r="T48" s="74" t="s">
        <v>215</v>
      </c>
    </row>
    <row r="49" spans="1:20" ht="13" hidden="1">
      <c r="A49" s="198"/>
      <c r="B49" s="60"/>
      <c r="C49" s="74"/>
      <c r="D49" s="304"/>
      <c r="E49" s="65"/>
      <c r="F49" s="65"/>
      <c r="G49" s="328"/>
      <c r="H49" s="72"/>
      <c r="I49" s="125"/>
      <c r="J49" s="74"/>
      <c r="K49" s="113"/>
      <c r="L49" s="113"/>
      <c r="M49" s="113"/>
      <c r="N49" s="113"/>
      <c r="O49" s="74"/>
      <c r="P49" s="70"/>
      <c r="Q49" s="74"/>
      <c r="R49" s="112"/>
      <c r="S49" s="74"/>
      <c r="T49" s="74"/>
    </row>
    <row r="50" spans="1:20" ht="13" hidden="1">
      <c r="A50" s="323"/>
      <c r="B50" s="60"/>
      <c r="C50" s="74"/>
      <c r="D50" s="64"/>
      <c r="E50" s="65"/>
      <c r="F50" s="65"/>
      <c r="G50" s="74"/>
      <c r="H50" s="72"/>
      <c r="I50" s="74"/>
      <c r="J50" s="74"/>
      <c r="K50" s="113"/>
      <c r="L50" s="113"/>
      <c r="M50" s="113"/>
      <c r="N50" s="113"/>
      <c r="O50" s="74"/>
      <c r="P50" s="70"/>
      <c r="Q50" s="74"/>
      <c r="R50" s="112"/>
      <c r="S50" s="74"/>
      <c r="T50" s="125"/>
    </row>
    <row r="51" spans="1:20" ht="13" hidden="1">
      <c r="A51" s="323" t="s">
        <v>67</v>
      </c>
      <c r="B51" s="60">
        <v>680</v>
      </c>
      <c r="C51" s="67">
        <v>16</v>
      </c>
      <c r="D51" s="64">
        <v>2.8</v>
      </c>
      <c r="E51" s="65">
        <v>89</v>
      </c>
      <c r="F51" s="65">
        <v>122</v>
      </c>
      <c r="G51" s="70" t="s">
        <v>36</v>
      </c>
      <c r="H51" s="72" t="s">
        <v>68</v>
      </c>
      <c r="I51" s="74">
        <v>0.19</v>
      </c>
      <c r="J51" s="76">
        <v>2199</v>
      </c>
      <c r="K51" s="79" t="str">
        <f>HYPERLINK("https://amzn.to/2SR0IRl","link*")</f>
        <v>link*</v>
      </c>
      <c r="L51" s="79" t="str">
        <f>HYPERLINK("https://www.bhphotovideo.com/c/product/1338516-REG/sony_sel1635gm_fe_16_35mm_f_2_8_gm.html/BI/19619/KBID/12129/DFF/d10-v21-t1-x822837/SID/EZ","link*")</f>
        <v>link*</v>
      </c>
      <c r="M51" s="79" t="str">
        <f>HYPERLINK("https://amzn.to/2T1ZxOU","link*")</f>
        <v>link*</v>
      </c>
      <c r="N51" s="79"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51" s="84">
        <v>28</v>
      </c>
      <c r="P51" s="70" t="s">
        <v>27</v>
      </c>
      <c r="Q51" s="74">
        <v>11</v>
      </c>
      <c r="R51" s="136" t="s">
        <v>72</v>
      </c>
      <c r="S51" s="74" t="s">
        <v>41</v>
      </c>
      <c r="T51" s="74" t="s">
        <v>211</v>
      </c>
    </row>
    <row r="52" spans="1:20" ht="13" hidden="1">
      <c r="A52" s="323"/>
      <c r="B52" s="60"/>
      <c r="C52" s="74"/>
      <c r="D52" s="64"/>
      <c r="E52" s="65"/>
      <c r="F52" s="65"/>
      <c r="G52" s="74"/>
      <c r="H52" s="72"/>
      <c r="I52" s="74"/>
      <c r="J52" s="74"/>
      <c r="K52" s="113"/>
      <c r="L52" s="113"/>
      <c r="M52" s="113"/>
      <c r="N52" s="113"/>
      <c r="O52" s="74"/>
      <c r="P52" s="70"/>
      <c r="Q52" s="74"/>
      <c r="R52" s="112"/>
      <c r="S52" s="74"/>
      <c r="T52" s="125"/>
    </row>
    <row r="53" spans="1:20" ht="13" hidden="1">
      <c r="A53" s="198"/>
      <c r="B53" s="60"/>
      <c r="C53" s="74"/>
      <c r="D53" s="64"/>
      <c r="E53" s="65"/>
      <c r="F53" s="65"/>
      <c r="G53" s="74"/>
      <c r="H53" s="72"/>
      <c r="I53" s="74"/>
      <c r="J53" s="573"/>
      <c r="K53" s="113"/>
      <c r="L53" s="113"/>
      <c r="M53" s="113"/>
      <c r="N53" s="113"/>
      <c r="O53" s="74"/>
      <c r="P53" s="70"/>
      <c r="Q53" s="74"/>
      <c r="R53" s="112"/>
      <c r="S53" s="74"/>
      <c r="T53" s="74"/>
    </row>
    <row r="54" spans="1:20" ht="13" hidden="1">
      <c r="A54" s="198"/>
      <c r="B54" s="60"/>
      <c r="C54" s="74"/>
      <c r="D54" s="64"/>
      <c r="E54" s="65"/>
      <c r="F54" s="65"/>
      <c r="G54" s="328"/>
      <c r="H54" s="72"/>
      <c r="I54" s="74"/>
      <c r="J54" s="74"/>
      <c r="K54" s="113"/>
      <c r="L54" s="113"/>
      <c r="M54" s="113"/>
      <c r="N54" s="113"/>
      <c r="O54" s="74"/>
      <c r="P54" s="70"/>
      <c r="Q54" s="74"/>
      <c r="R54" s="112"/>
      <c r="S54" s="74"/>
      <c r="T54" s="125"/>
    </row>
    <row r="55" spans="1:20" ht="13" hidden="1">
      <c r="A55" s="198"/>
      <c r="B55" s="60"/>
      <c r="C55" s="74"/>
      <c r="D55" s="64"/>
      <c r="E55" s="65"/>
      <c r="F55" s="65"/>
      <c r="G55" s="74"/>
      <c r="H55" s="72"/>
      <c r="I55" s="263"/>
      <c r="J55" s="574"/>
      <c r="K55" s="113"/>
      <c r="L55" s="113"/>
      <c r="M55" s="113"/>
      <c r="N55" s="113"/>
      <c r="O55" s="74"/>
      <c r="P55" s="70"/>
      <c r="Q55" s="74"/>
      <c r="R55" s="112"/>
      <c r="S55" s="74"/>
      <c r="T55" s="74"/>
    </row>
    <row r="56" spans="1:20" ht="13" hidden="1">
      <c r="A56" s="198"/>
      <c r="B56" s="60"/>
      <c r="C56" s="74"/>
      <c r="D56" s="64"/>
      <c r="E56" s="65"/>
      <c r="F56" s="65"/>
      <c r="G56" s="74"/>
      <c r="H56" s="72"/>
      <c r="I56" s="74"/>
      <c r="J56" s="74"/>
      <c r="K56" s="113"/>
      <c r="L56" s="113"/>
      <c r="M56" s="113"/>
      <c r="N56" s="113"/>
      <c r="O56" s="74"/>
      <c r="P56" s="70"/>
      <c r="Q56" s="74"/>
      <c r="R56" s="112"/>
      <c r="S56" s="74"/>
      <c r="T56" s="74"/>
    </row>
    <row r="57" spans="1:20" ht="13" hidden="1">
      <c r="A57" s="198"/>
      <c r="B57" s="60"/>
      <c r="C57" s="74"/>
      <c r="D57" s="64"/>
      <c r="E57" s="65"/>
      <c r="F57" s="65"/>
      <c r="G57" s="328"/>
      <c r="H57" s="72"/>
      <c r="I57" s="320"/>
      <c r="J57" s="74"/>
      <c r="K57" s="113"/>
      <c r="L57" s="113"/>
      <c r="M57" s="113"/>
      <c r="N57" s="113"/>
      <c r="O57" s="74"/>
      <c r="P57" s="70"/>
      <c r="Q57" s="74"/>
      <c r="R57" s="112"/>
      <c r="S57" s="74"/>
    </row>
    <row r="58" spans="1:20" ht="13" hidden="1">
      <c r="A58" s="327" t="str">
        <f>HYPERLINK("https://phillipreeve.net/blog/review-tamron-17-28mm-f-2-8-di-iii-rxd/","Tamron 17-28mm f/2.8 Di III RXD")</f>
        <v>Tamron 17-28mm f/2.8 Di III RXD</v>
      </c>
      <c r="B58" s="60">
        <v>420</v>
      </c>
      <c r="C58" s="67">
        <v>17</v>
      </c>
      <c r="D58" s="64">
        <v>2.8</v>
      </c>
      <c r="E58" s="152">
        <v>73</v>
      </c>
      <c r="F58" s="65">
        <v>99</v>
      </c>
      <c r="G58" s="70" t="s">
        <v>36</v>
      </c>
      <c r="H58" s="72" t="s">
        <v>73</v>
      </c>
      <c r="I58" s="74">
        <v>0.19</v>
      </c>
      <c r="J58" s="156">
        <v>899</v>
      </c>
      <c r="K58" s="79" t="str">
        <f>HYPERLINK("https://amzn.to/2Hv3AyB","link*")</f>
        <v>link*</v>
      </c>
      <c r="L58" s="79" t="str">
        <f>HYPERLINK("https://www.bhphotovideo.com/c/product/1461529-REG/tamron_a046_17_28mm_f_2_8_di_iii.html/BI/19619/KBID/12129/DFF/d10-v21-t1-x946694/SID/EZ","link*")</f>
        <v>link*</v>
      </c>
      <c r="M58" s="79" t="str">
        <f>HYPERLINK("https://amzn.to/2YkrkQB","link*")</f>
        <v>link*</v>
      </c>
      <c r="N58" s="79"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58" s="84">
        <v>19</v>
      </c>
      <c r="P58" s="70" t="s">
        <v>27</v>
      </c>
      <c r="Q58" s="74">
        <v>9</v>
      </c>
      <c r="R58" s="136" t="s">
        <v>77</v>
      </c>
      <c r="S58" s="74" t="s">
        <v>78</v>
      </c>
      <c r="T58" s="74" t="s">
        <v>216</v>
      </c>
    </row>
    <row r="59" spans="1:20" ht="13" hidden="1">
      <c r="A59" s="323"/>
      <c r="B59" s="60"/>
      <c r="C59" s="74"/>
      <c r="D59" s="64"/>
      <c r="E59" s="65"/>
      <c r="F59" s="65"/>
      <c r="G59" s="74"/>
      <c r="H59" s="72"/>
      <c r="I59" s="239"/>
      <c r="J59" s="74"/>
      <c r="K59" s="113"/>
      <c r="L59" s="113"/>
      <c r="M59" s="113"/>
      <c r="N59" s="113"/>
      <c r="O59" s="74"/>
      <c r="P59" s="134"/>
      <c r="Q59" s="74"/>
      <c r="R59" s="115"/>
      <c r="S59" s="74"/>
      <c r="T59" s="74"/>
    </row>
    <row r="60" spans="1:20" ht="13" hidden="1">
      <c r="A60" s="323"/>
      <c r="B60" s="60"/>
      <c r="C60" s="74"/>
      <c r="D60" s="64"/>
      <c r="E60" s="65"/>
      <c r="F60" s="65"/>
      <c r="G60" s="74"/>
      <c r="H60" s="72"/>
      <c r="I60" s="201"/>
      <c r="J60" s="74"/>
      <c r="K60" s="113"/>
      <c r="L60" s="113"/>
      <c r="M60" s="113"/>
      <c r="N60" s="113"/>
      <c r="O60" s="74"/>
      <c r="P60" s="134"/>
      <c r="Q60" s="74"/>
      <c r="R60" s="343"/>
      <c r="S60" s="74"/>
      <c r="T60" s="74"/>
    </row>
    <row r="61" spans="1:20" ht="13" hidden="1">
      <c r="A61" s="198"/>
      <c r="B61" s="60"/>
      <c r="C61" s="74"/>
      <c r="D61" s="64"/>
      <c r="E61" s="65"/>
      <c r="F61" s="65"/>
      <c r="G61" s="74"/>
      <c r="H61" s="72"/>
      <c r="I61" s="125"/>
      <c r="J61" s="74"/>
      <c r="K61" s="113"/>
      <c r="L61" s="113"/>
      <c r="M61" s="113"/>
      <c r="N61" s="113"/>
      <c r="O61" s="74"/>
      <c r="P61" s="134"/>
      <c r="Q61" s="74"/>
      <c r="R61" s="115"/>
      <c r="S61" s="74"/>
      <c r="T61" s="74"/>
    </row>
    <row r="62" spans="1:20" ht="13" hidden="1">
      <c r="A62" s="198"/>
      <c r="B62" s="60"/>
      <c r="C62" s="74"/>
      <c r="D62" s="64"/>
      <c r="E62" s="65"/>
      <c r="F62" s="65"/>
      <c r="G62" s="74"/>
      <c r="H62" s="72"/>
      <c r="I62" s="74"/>
      <c r="J62" s="74"/>
      <c r="K62" s="113"/>
      <c r="L62" s="113"/>
      <c r="M62" s="113"/>
      <c r="N62" s="113"/>
      <c r="O62" s="74"/>
      <c r="P62" s="70"/>
      <c r="Q62" s="74"/>
      <c r="R62" s="112"/>
      <c r="S62" s="74"/>
      <c r="T62" s="74"/>
    </row>
    <row r="63" spans="1:20" ht="13" hidden="1">
      <c r="A63" s="196" t="str">
        <f>HYPERLINK("https://phillipreeve.net/blog/review-zeiss-batis-18mm-2-8/","Zeiss Batis 2.8/18")</f>
        <v>Zeiss Batis 2.8/18</v>
      </c>
      <c r="B63" s="60">
        <v>330</v>
      </c>
      <c r="C63" s="67">
        <v>18</v>
      </c>
      <c r="D63" s="64">
        <v>2.8</v>
      </c>
      <c r="E63" s="65">
        <v>100</v>
      </c>
      <c r="F63" s="65">
        <v>80</v>
      </c>
      <c r="G63" s="70" t="s">
        <v>36</v>
      </c>
      <c r="H63" s="72" t="s">
        <v>80</v>
      </c>
      <c r="I63" s="74">
        <v>0.1</v>
      </c>
      <c r="J63" s="76">
        <v>1499</v>
      </c>
      <c r="K63" s="79" t="str">
        <f>HYPERLINK("https://amzn.to/2SRFBhL","link*")</f>
        <v>link*</v>
      </c>
      <c r="L63" s="79" t="str">
        <f>HYPERLINK("https://www.bhphotovideo.com/c/product/1243591-REG/zeiss_2136_691_batis_18mm_f_2_8_lens.html/BI/19619/KBID/12129/DFF/d10-v21-t1-x727488/SID/EZ","link*")</f>
        <v>link*</v>
      </c>
      <c r="M63" s="79" t="str">
        <f>HYPERLINK("https://amzn.to/334PqNT","link*")</f>
        <v>link*</v>
      </c>
      <c r="N63" s="7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63" s="84">
        <v>25</v>
      </c>
      <c r="P63" s="70" t="s">
        <v>27</v>
      </c>
      <c r="Q63" s="74">
        <v>9</v>
      </c>
      <c r="R63" s="136" t="s">
        <v>86</v>
      </c>
      <c r="S63" s="74" t="s">
        <v>87</v>
      </c>
      <c r="T63" s="125"/>
    </row>
    <row r="64" spans="1:20" ht="13" hidden="1">
      <c r="A64" s="323"/>
      <c r="B64" s="60"/>
      <c r="C64" s="74"/>
      <c r="D64" s="64"/>
      <c r="E64" s="65"/>
      <c r="F64" s="65"/>
      <c r="G64" s="74"/>
      <c r="H64" s="72"/>
      <c r="I64" s="74"/>
      <c r="J64" s="573"/>
      <c r="K64" s="113"/>
      <c r="L64" s="113"/>
      <c r="M64" s="113"/>
      <c r="N64" s="113"/>
      <c r="O64" s="74"/>
      <c r="P64" s="70"/>
      <c r="Q64" s="74"/>
      <c r="R64" s="112"/>
      <c r="S64" s="74"/>
      <c r="T64" s="125"/>
    </row>
    <row r="65" spans="1:21" ht="13" hidden="1">
      <c r="A65" s="198"/>
      <c r="B65" s="60"/>
      <c r="C65" s="74"/>
      <c r="D65" s="64"/>
      <c r="E65" s="65"/>
      <c r="F65" s="65"/>
      <c r="G65" s="74"/>
      <c r="H65" s="72"/>
      <c r="I65" s="74"/>
      <c r="J65" s="573"/>
      <c r="K65" s="113"/>
      <c r="L65" s="113"/>
      <c r="M65" s="113"/>
      <c r="N65" s="113"/>
      <c r="O65" s="74"/>
      <c r="P65" s="70"/>
      <c r="Q65" s="74"/>
      <c r="R65" s="112"/>
      <c r="S65" s="74"/>
      <c r="T65" s="74"/>
    </row>
    <row r="66" spans="1:21" ht="13" hidden="1">
      <c r="A66" s="526"/>
      <c r="B66" s="60"/>
      <c r="C66" s="74"/>
      <c r="D66" s="64"/>
      <c r="E66" s="65"/>
      <c r="F66" s="65"/>
      <c r="G66" s="74"/>
      <c r="H66" s="72"/>
      <c r="I66" s="74"/>
      <c r="J66" s="74"/>
      <c r="K66" s="113"/>
      <c r="L66" s="113"/>
      <c r="M66" s="113"/>
      <c r="N66" s="113"/>
      <c r="O66" s="74"/>
      <c r="P66" s="134"/>
      <c r="Q66" s="74"/>
      <c r="R66" s="112"/>
      <c r="S66" s="74"/>
      <c r="T66" s="125"/>
    </row>
    <row r="67" spans="1:21" ht="13" hidden="1">
      <c r="A67" s="323"/>
      <c r="B67" s="60"/>
      <c r="C67" s="74"/>
      <c r="D67" s="64"/>
      <c r="E67" s="463"/>
      <c r="F67" s="463"/>
      <c r="G67" s="328"/>
      <c r="H67" s="72"/>
      <c r="I67" s="74"/>
      <c r="J67" s="74"/>
      <c r="K67" s="113"/>
      <c r="L67" s="113"/>
      <c r="M67" s="113"/>
      <c r="N67" s="113"/>
      <c r="O67" s="74"/>
      <c r="P67" s="70"/>
      <c r="Q67" s="74"/>
      <c r="R67" s="112"/>
      <c r="S67" s="74"/>
      <c r="T67" s="125"/>
    </row>
    <row r="68" spans="1:21" ht="13" hidden="1">
      <c r="A68" s="323"/>
      <c r="B68" s="60"/>
      <c r="C68" s="74"/>
      <c r="D68" s="64"/>
      <c r="E68" s="463"/>
      <c r="F68" s="463"/>
      <c r="G68" s="74"/>
      <c r="H68" s="72"/>
      <c r="I68" s="74"/>
      <c r="J68" s="74"/>
      <c r="K68" s="113"/>
      <c r="L68" s="113"/>
      <c r="M68" s="113"/>
      <c r="N68" s="113"/>
      <c r="O68" s="74"/>
      <c r="P68" s="70"/>
      <c r="Q68" s="74"/>
      <c r="R68" s="112"/>
      <c r="S68" s="74"/>
      <c r="T68" s="125"/>
    </row>
    <row r="69" spans="1:21" ht="13" hidden="1">
      <c r="A69" s="198"/>
      <c r="B69" s="60"/>
      <c r="C69" s="74"/>
      <c r="D69" s="64"/>
      <c r="E69" s="65"/>
      <c r="F69" s="65"/>
      <c r="G69" s="328"/>
      <c r="H69" s="72"/>
      <c r="I69" s="74"/>
      <c r="J69" s="74"/>
      <c r="K69" s="113"/>
      <c r="L69" s="113"/>
      <c r="M69" s="113"/>
      <c r="N69" s="113"/>
      <c r="O69" s="74"/>
      <c r="P69" s="70"/>
      <c r="Q69" s="74"/>
      <c r="R69" s="112"/>
      <c r="S69" s="74"/>
      <c r="T69" s="125"/>
    </row>
    <row r="70" spans="1:21" ht="13" hidden="1">
      <c r="A70" s="198"/>
      <c r="B70" s="60"/>
      <c r="C70" s="74"/>
      <c r="D70" s="64"/>
      <c r="E70" s="65"/>
      <c r="F70" s="65"/>
      <c r="G70" s="74"/>
      <c r="H70" s="72"/>
      <c r="I70" s="263"/>
      <c r="J70" s="74"/>
      <c r="K70" s="113"/>
      <c r="L70" s="113"/>
      <c r="M70" s="113"/>
      <c r="N70" s="113"/>
      <c r="O70" s="74"/>
      <c r="P70" s="134"/>
      <c r="Q70" s="74"/>
      <c r="R70" s="112"/>
      <c r="S70" s="74"/>
      <c r="T70" s="74"/>
    </row>
    <row r="71" spans="1:21" ht="13" hidden="1">
      <c r="A71" s="323"/>
      <c r="B71" s="60"/>
      <c r="C71" s="74"/>
      <c r="D71" s="64"/>
      <c r="E71" s="65"/>
      <c r="F71" s="65"/>
      <c r="G71" s="74"/>
      <c r="H71" s="72"/>
      <c r="I71" s="239"/>
      <c r="J71" s="74"/>
      <c r="K71" s="113"/>
      <c r="L71" s="113"/>
      <c r="M71" s="113"/>
      <c r="N71" s="113"/>
      <c r="O71" s="74"/>
      <c r="P71" s="134"/>
      <c r="Q71" s="74"/>
      <c r="R71" s="112"/>
      <c r="S71" s="74"/>
      <c r="T71" s="74"/>
    </row>
    <row r="72" spans="1:21" ht="13" hidden="1">
      <c r="A72" s="323"/>
      <c r="B72" s="60"/>
      <c r="C72" s="74"/>
      <c r="D72" s="64"/>
      <c r="E72" s="65"/>
      <c r="F72" s="65"/>
      <c r="G72" s="74"/>
      <c r="H72" s="72"/>
      <c r="I72" s="263"/>
      <c r="J72" s="574"/>
      <c r="K72" s="113"/>
      <c r="L72" s="113"/>
      <c r="M72" s="113"/>
      <c r="N72" s="113"/>
      <c r="O72" s="74"/>
      <c r="P72" s="70"/>
      <c r="Q72" s="74"/>
      <c r="R72" s="112"/>
      <c r="S72" s="74"/>
      <c r="T72" s="74"/>
    </row>
    <row r="73" spans="1:21" ht="13" hidden="1">
      <c r="A73" s="323"/>
      <c r="B73" s="60"/>
      <c r="C73" s="74"/>
      <c r="D73" s="64"/>
      <c r="E73" s="65"/>
      <c r="F73" s="65"/>
      <c r="G73" s="74"/>
      <c r="H73" s="72"/>
      <c r="I73" s="239"/>
      <c r="J73" s="74"/>
      <c r="K73" s="113"/>
      <c r="L73" s="113"/>
      <c r="M73" s="113"/>
      <c r="N73" s="113"/>
      <c r="O73" s="74"/>
      <c r="P73" s="134"/>
      <c r="Q73" s="74"/>
      <c r="R73" s="115"/>
      <c r="S73" s="74"/>
      <c r="T73" s="74"/>
    </row>
    <row r="74" spans="1:21" ht="15.75" hidden="1" customHeight="1">
      <c r="A74" s="196" t="str">
        <f>HYPERLINK("https://phillipreeve.net/blog/review-voigtlander-12mm-5-6-aspherical-ultra-wide-heliar/","Voigtlander 12mm F5.6 Ultra Wide-Heliar Aspherical")</f>
        <v>Voigtlander 12mm F5.6 Ultra Wide-Heliar Aspherical</v>
      </c>
      <c r="B74" s="60">
        <v>350</v>
      </c>
      <c r="C74" s="67">
        <v>12</v>
      </c>
      <c r="D74" s="64">
        <v>5.6</v>
      </c>
      <c r="E74" s="248">
        <v>67</v>
      </c>
      <c r="F74" s="324">
        <v>68</v>
      </c>
      <c r="G74" s="325" t="s">
        <v>25</v>
      </c>
      <c r="H74" s="72" t="s">
        <v>26</v>
      </c>
      <c r="I74" s="74"/>
      <c r="J74" s="76">
        <v>749</v>
      </c>
      <c r="K74" s="113"/>
      <c r="L74" s="113"/>
      <c r="M74" s="113"/>
      <c r="N74" s="79"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O74" s="84">
        <v>30</v>
      </c>
      <c r="P74" s="70" t="s">
        <v>27</v>
      </c>
      <c r="Q74" s="74">
        <v>10</v>
      </c>
      <c r="R74" s="86" t="s">
        <v>43</v>
      </c>
      <c r="S74" s="74" t="s">
        <v>29</v>
      </c>
      <c r="T74" s="74" t="s">
        <v>212</v>
      </c>
      <c r="U74" s="77" t="s">
        <v>46</v>
      </c>
    </row>
    <row r="75" spans="1:21" ht="13" hidden="1">
      <c r="A75" s="323"/>
      <c r="B75" s="60"/>
      <c r="C75" s="74"/>
      <c r="D75" s="64"/>
      <c r="E75" s="65"/>
      <c r="F75" s="65"/>
      <c r="G75" s="328"/>
      <c r="H75" s="72"/>
      <c r="I75" s="263"/>
      <c r="J75" s="74"/>
      <c r="K75" s="113"/>
      <c r="L75" s="113"/>
      <c r="M75" s="113"/>
      <c r="N75" s="113"/>
      <c r="O75" s="74"/>
      <c r="P75" s="70"/>
      <c r="Q75" s="74"/>
      <c r="R75" s="112"/>
      <c r="S75" s="74"/>
      <c r="T75" s="74"/>
    </row>
    <row r="76" spans="1:21" ht="13" hidden="1">
      <c r="A76" s="198"/>
      <c r="B76" s="60"/>
      <c r="C76" s="74"/>
      <c r="D76" s="64"/>
      <c r="E76" s="65"/>
      <c r="F76" s="65"/>
      <c r="G76" s="74"/>
      <c r="H76" s="236"/>
      <c r="I76" s="239"/>
      <c r="J76" s="74"/>
      <c r="K76" s="113"/>
      <c r="L76" s="113"/>
      <c r="M76" s="113"/>
      <c r="N76" s="113"/>
      <c r="O76" s="74"/>
      <c r="P76" s="70"/>
      <c r="Q76" s="74"/>
      <c r="R76" s="112"/>
      <c r="S76" s="74"/>
      <c r="T76" s="125"/>
    </row>
    <row r="77" spans="1:21" ht="13" hidden="1">
      <c r="A77" s="323" t="s">
        <v>104</v>
      </c>
      <c r="B77" s="60">
        <v>775</v>
      </c>
      <c r="C77" s="67">
        <v>20</v>
      </c>
      <c r="D77" s="100">
        <v>1.8</v>
      </c>
      <c r="E77" s="65">
        <v>77</v>
      </c>
      <c r="F77" s="65">
        <v>102</v>
      </c>
      <c r="G77" s="328" t="s">
        <v>25</v>
      </c>
      <c r="H77" s="72" t="s">
        <v>68</v>
      </c>
      <c r="I77" s="74">
        <v>0.12</v>
      </c>
      <c r="J77" s="76">
        <v>486</v>
      </c>
      <c r="K77" s="79" t="str">
        <f>HYPERLINK("https://amzn.to/2LRRbJ5","link*")</f>
        <v>link*</v>
      </c>
      <c r="L77" s="79" t="str">
        <f>HYPERLINK("https://www.bhphotovideo.com/c/product/1469187-REG/viltrox_pfu_rbmh_20mm_f1_8_asph_e_mount_20mm_f_1_8_for_sony.html/BI/19619/KBID/12129/DFF/d10-v21-t1-x954299/SID/EZ","link*")</f>
        <v>link*</v>
      </c>
      <c r="M77" s="79" t="str">
        <f>HYPERLINK("https://amzn.to/2GL8iYV","link*")</f>
        <v>link*</v>
      </c>
      <c r="N77" s="79"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O77" s="84">
        <v>25</v>
      </c>
      <c r="P77" s="70" t="s">
        <v>27</v>
      </c>
      <c r="Q77" s="74">
        <v>14</v>
      </c>
      <c r="R77" s="112">
        <v>43720</v>
      </c>
      <c r="S77" s="74" t="s">
        <v>106</v>
      </c>
      <c r="T77" s="125"/>
    </row>
    <row r="78" spans="1:21" ht="13" hidden="1">
      <c r="A78" s="198"/>
      <c r="B78" s="60"/>
      <c r="C78" s="74"/>
      <c r="D78" s="64"/>
      <c r="E78" s="65"/>
      <c r="F78" s="65"/>
      <c r="G78" s="74"/>
      <c r="H78" s="72"/>
      <c r="I78" s="74"/>
      <c r="J78" s="74"/>
      <c r="K78" s="113"/>
      <c r="L78" s="113"/>
      <c r="M78" s="113"/>
      <c r="N78" s="113"/>
      <c r="O78" s="74"/>
      <c r="P78" s="134"/>
      <c r="Q78" s="74"/>
      <c r="R78" s="112"/>
      <c r="S78" s="74"/>
      <c r="T78" s="125"/>
    </row>
    <row r="79" spans="1:21" ht="13" hidden="1">
      <c r="A79" s="337"/>
      <c r="B79" s="60"/>
      <c r="C79" s="74"/>
      <c r="D79" s="64"/>
      <c r="E79" s="65"/>
      <c r="F79" s="65"/>
      <c r="G79" s="74"/>
      <c r="H79" s="244"/>
      <c r="I79" s="320"/>
      <c r="J79" s="74"/>
      <c r="K79" s="113"/>
      <c r="L79" s="113"/>
      <c r="M79" s="113"/>
      <c r="N79" s="113"/>
      <c r="O79" s="74"/>
      <c r="P79" s="134"/>
      <c r="Q79" s="74"/>
      <c r="R79" s="115"/>
      <c r="S79" s="74"/>
      <c r="T79" s="74"/>
    </row>
    <row r="80" spans="1:21" ht="13" hidden="1">
      <c r="A80" s="323"/>
      <c r="B80" s="60"/>
      <c r="C80" s="74"/>
      <c r="D80" s="64"/>
      <c r="E80" s="65"/>
      <c r="F80" s="65"/>
      <c r="G80" s="74"/>
      <c r="H80" s="72"/>
      <c r="I80" s="320"/>
      <c r="J80" s="74"/>
      <c r="K80" s="113"/>
      <c r="L80" s="113"/>
      <c r="M80" s="113"/>
      <c r="N80" s="113"/>
      <c r="O80" s="74"/>
      <c r="P80" s="134"/>
      <c r="Q80" s="74"/>
      <c r="R80" s="115"/>
      <c r="S80" s="74"/>
      <c r="T80" s="74"/>
    </row>
    <row r="81" spans="1:21" ht="13" hidden="1">
      <c r="A81" s="401"/>
      <c r="B81" s="282"/>
      <c r="C81" s="285"/>
      <c r="D81" s="284"/>
      <c r="E81" s="558"/>
      <c r="F81" s="558"/>
      <c r="G81" s="285"/>
      <c r="H81" s="286"/>
      <c r="I81" s="285"/>
      <c r="J81" s="285"/>
      <c r="K81" s="113"/>
      <c r="L81" s="113"/>
      <c r="M81" s="113"/>
      <c r="N81" s="113"/>
      <c r="O81" s="285"/>
      <c r="P81" s="134"/>
      <c r="Q81" s="285"/>
      <c r="R81" s="288"/>
      <c r="S81" s="285"/>
      <c r="T81" s="285"/>
    </row>
    <row r="82" spans="1:21" ht="13" hidden="1">
      <c r="A82" s="196" t="str">
        <f>HYPERLINK("https://phillipreeve.net/blog/tokina-firin-20mm-f2-fe-review-a-good-deal/","Tokina Firin 2/20")</f>
        <v>Tokina Firin 2/20</v>
      </c>
      <c r="B82" s="60">
        <v>492</v>
      </c>
      <c r="C82" s="67">
        <v>20</v>
      </c>
      <c r="D82" s="173">
        <v>2</v>
      </c>
      <c r="E82" s="187">
        <v>69</v>
      </c>
      <c r="F82" s="329">
        <v>82</v>
      </c>
      <c r="G82" s="325" t="s">
        <v>25</v>
      </c>
      <c r="H82" s="72" t="s">
        <v>101</v>
      </c>
      <c r="I82" s="74">
        <v>0.1</v>
      </c>
      <c r="J82" s="184">
        <v>799</v>
      </c>
      <c r="K82" s="79" t="str">
        <f>HYPERLINK("http://amzn.to/2vlG2Yq","link*")</f>
        <v>link*</v>
      </c>
      <c r="L82" s="79" t="str">
        <f>HYPERLINK("https://www.bhphotovideo.com/c/product/1281299-REG/tokina_firin_20mm_f_2_fe.html/BI/19619/KBID/12129/kw/TO202E/DFF/d10-v2-t1-xTO202E","link*")</f>
        <v>link*</v>
      </c>
      <c r="M82" s="79" t="str">
        <f>HYPERLINK("http://amzn.to/2vvtDkM","link*")</f>
        <v>link*</v>
      </c>
      <c r="N82" s="79"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c r="O82" s="84">
        <v>30</v>
      </c>
      <c r="P82" s="70" t="s">
        <v>27</v>
      </c>
      <c r="Q82" s="74">
        <v>9</v>
      </c>
      <c r="R82" s="136" t="s">
        <v>77</v>
      </c>
      <c r="S82" s="74" t="s">
        <v>103</v>
      </c>
      <c r="T82" s="125"/>
    </row>
    <row r="83" spans="1:21" ht="13" hidden="1">
      <c r="A83" s="323" t="s">
        <v>97</v>
      </c>
      <c r="B83" s="60">
        <v>464</v>
      </c>
      <c r="C83" s="67">
        <v>20</v>
      </c>
      <c r="D83" s="173">
        <v>2</v>
      </c>
      <c r="E83" s="175">
        <v>73</v>
      </c>
      <c r="F83" s="216">
        <v>82</v>
      </c>
      <c r="G83" s="70" t="s">
        <v>36</v>
      </c>
      <c r="H83" s="72" t="s">
        <v>101</v>
      </c>
      <c r="I83" s="74">
        <v>0.1</v>
      </c>
      <c r="J83" s="76">
        <v>949</v>
      </c>
      <c r="K83" s="79" t="str">
        <f>HYPERLINK("https://amzn.to/2GDurZb","link*")</f>
        <v>link*</v>
      </c>
      <c r="L83" s="79" t="str">
        <f>HYPERLINK("https://www.bhphotovideo.com/c/product/1393327-REG/tokina_firin_20mm_f_2_fe.html/BI/19619/KBID/12129/DFF/d10-v21-t1-x880327/SID/EZ","link*")</f>
        <v>link*</v>
      </c>
      <c r="M83" s="79" t="str">
        <f>HYPERLINK("https://amzn.to/2GJYCxw","link*")</f>
        <v>link*</v>
      </c>
      <c r="N83" s="79"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83" s="84">
        <v>30</v>
      </c>
      <c r="P83" s="70" t="s">
        <v>27</v>
      </c>
      <c r="Q83" s="74">
        <v>9</v>
      </c>
      <c r="R83" s="136" t="s">
        <v>77</v>
      </c>
      <c r="S83" s="74" t="s">
        <v>103</v>
      </c>
      <c r="T83" s="125"/>
    </row>
    <row r="84" spans="1:21" ht="13" hidden="1">
      <c r="A84" s="327" t="str">
        <f>HYPERLINK("https://phillipreeve.net/blog/review_voigtlander_21mm_f14_e/","Voigtlander 21mm F1.4 Nokton")</f>
        <v>Voigtlander 21mm F1.4 Nokton</v>
      </c>
      <c r="B84" s="60">
        <v>540</v>
      </c>
      <c r="C84" s="67">
        <v>21</v>
      </c>
      <c r="D84" s="192">
        <v>1.4</v>
      </c>
      <c r="E84" s="194">
        <v>70</v>
      </c>
      <c r="F84" s="211">
        <v>80</v>
      </c>
      <c r="G84" s="325" t="s">
        <v>25</v>
      </c>
      <c r="H84" s="72" t="s">
        <v>101</v>
      </c>
      <c r="I84" s="74"/>
      <c r="J84" s="76">
        <v>1199</v>
      </c>
      <c r="K84" s="79" t="str">
        <f>HYPERLINK("https://amzn.to/2K7gHrC","link*")</f>
        <v>link*</v>
      </c>
      <c r="L84" s="79" t="str">
        <f>HYPERLINK("https://www.bhphotovideo.com/c/product/1480269-REG/voigtlander_ba352a_nokton_21mm_f_1_4_aspherical.html/BI/19619/KBID/12129/DFF/d10-v21-t1-x963269/SID/EZ","link*")</f>
        <v>link*</v>
      </c>
      <c r="M84" s="113"/>
      <c r="N84" s="79"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c r="O84" s="84">
        <v>25</v>
      </c>
      <c r="P84" s="70" t="s">
        <v>27</v>
      </c>
      <c r="Q84" s="74">
        <v>12</v>
      </c>
      <c r="R84" s="136" t="s">
        <v>77</v>
      </c>
      <c r="S84" s="74" t="s">
        <v>29</v>
      </c>
      <c r="T84" s="74" t="s">
        <v>217</v>
      </c>
    </row>
    <row r="85" spans="1:21" ht="13" hidden="1">
      <c r="A85" s="196" t="str">
        <f>HYPERLINK("https://phillipreeve.net/blog/rolling-review-zeiss-loxia-distagon-2-821mm-t/https://phillipreeve.net/blog/rolling-review-zeiss-loxia-distagon-2-821mm-t/","Zeiss Loxia 2.8/21 Distagon T*")</f>
        <v>Zeiss Loxia 2.8/21 Distagon T*</v>
      </c>
      <c r="B85" s="60">
        <v>394</v>
      </c>
      <c r="C85" s="67">
        <v>21</v>
      </c>
      <c r="D85" s="64">
        <v>2.8</v>
      </c>
      <c r="E85" s="194">
        <v>62</v>
      </c>
      <c r="F85" s="211">
        <v>72</v>
      </c>
      <c r="G85" s="325" t="s">
        <v>25</v>
      </c>
      <c r="H85" s="72" t="s">
        <v>131</v>
      </c>
      <c r="I85" s="74">
        <v>0.13</v>
      </c>
      <c r="J85" s="76">
        <v>1499</v>
      </c>
      <c r="K85" s="79" t="str">
        <f>HYPERLINK("https://amzn.to/2yspzBm","link*")</f>
        <v>link*</v>
      </c>
      <c r="L85" s="79" t="str">
        <f>HYPERLINK("https://www.bhphotovideo.com/c/product/1189220-REG/zeiss_2131_999_loxia_21mm_f_2_8_lens.html/BI/19619/KBID/12129/DFF/d10-v21-t1-x677077/SID/EZ","link*")</f>
        <v>link*</v>
      </c>
      <c r="M85" s="79" t="str">
        <f>HYPERLINK("https://amzn.to/2GHSOoA","link*")</f>
        <v>link*</v>
      </c>
      <c r="N85" s="79"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c r="O85" s="84">
        <v>25</v>
      </c>
      <c r="P85" s="70" t="s">
        <v>27</v>
      </c>
      <c r="Q85" s="74">
        <v>10</v>
      </c>
      <c r="R85" s="136"/>
      <c r="S85" s="74" t="s">
        <v>87</v>
      </c>
      <c r="T85" s="125"/>
    </row>
    <row r="86" spans="1:21" ht="13" hidden="1">
      <c r="A86" s="196" t="str">
        <f>HYPERLINK("https://phillipreeve.net/blog/voigtlander-21mm-f35-review/","Voigtlander 21mm F3.5 Color-Skopar")</f>
        <v>Voigtlander 21mm F3.5 Color-Skopar</v>
      </c>
      <c r="B86" s="60">
        <v>230</v>
      </c>
      <c r="C86" s="67">
        <v>21</v>
      </c>
      <c r="D86" s="64">
        <v>3.5</v>
      </c>
      <c r="E86" s="194">
        <v>63</v>
      </c>
      <c r="F86" s="216">
        <v>40</v>
      </c>
      <c r="G86" s="325" t="s">
        <v>25</v>
      </c>
      <c r="H86" s="72" t="s">
        <v>131</v>
      </c>
      <c r="I86" s="125"/>
      <c r="J86" s="76">
        <v>699</v>
      </c>
      <c r="K86" s="79" t="str">
        <f>HYPERLINK("https://amzn.to/2JCie75","link*")</f>
        <v>link*</v>
      </c>
      <c r="L86" s="79" t="str">
        <f>HYPERLINK("https://www.bhphotovideo.com/c/product/1437613-REG/voigtlander_color_skopar_21mm_f_3_5_aspherical.html/BI/19619/KBID/12129/kw/VO2135E/DFF/d10-v2-t1-xVO2135E","link*")</f>
        <v>link*</v>
      </c>
      <c r="M86" s="79" t="str">
        <f>HYPERLINK("https://amzn.to/2ZoERan","link*")</f>
        <v>link*</v>
      </c>
      <c r="N86" s="79"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O86" s="84">
        <v>20</v>
      </c>
      <c r="P86" s="70" t="s">
        <v>27</v>
      </c>
      <c r="Q86" s="74">
        <v>10</v>
      </c>
      <c r="R86" s="136" t="s">
        <v>91</v>
      </c>
      <c r="S86" s="74" t="s">
        <v>29</v>
      </c>
      <c r="T86" s="74" t="s">
        <v>218</v>
      </c>
    </row>
    <row r="87" spans="1:21" ht="13" hidden="1">
      <c r="A87" s="196" t="str">
        <f>HYPERLINK("https://phillipreeve.net/blog/review-sony-fe-24mm-1-4-gm/","Sony GM 1.4/24")</f>
        <v>Sony GM 1.4/24</v>
      </c>
      <c r="B87" s="60">
        <v>445</v>
      </c>
      <c r="C87" s="67">
        <v>24</v>
      </c>
      <c r="D87" s="192">
        <v>1.4</v>
      </c>
      <c r="E87" s="194">
        <v>75</v>
      </c>
      <c r="F87" s="211">
        <v>92</v>
      </c>
      <c r="G87" s="70" t="s">
        <v>36</v>
      </c>
      <c r="H87" s="72" t="s">
        <v>73</v>
      </c>
      <c r="I87" s="74">
        <v>0.17</v>
      </c>
      <c r="J87" s="76">
        <v>1399</v>
      </c>
      <c r="K87" s="79" t="str">
        <f>HYPERLINK("https://amzn.to/2ywcbw1","link*")</f>
        <v>link*</v>
      </c>
      <c r="L87" s="79" t="str">
        <f>HYPERLINK("https://www.bhphotovideo.com/c/product/1435887-REG/sony_fe_24mm_f_1_4_gm.html/BI/19619/KBID/12129/DFF/d10-v21-t1-x915647/SID/EZ","link*")</f>
        <v>link*</v>
      </c>
      <c r="M87" s="79" t="str">
        <f>HYPERLINK("https://amzn.to/2L2tV9y","link*")</f>
        <v>link*</v>
      </c>
      <c r="N87" s="79" t="str">
        <f>HYPERLINK("https://amzn.to/338yg28","link*")</f>
        <v>link*</v>
      </c>
      <c r="O87" s="84">
        <v>25</v>
      </c>
      <c r="P87" s="70" t="s">
        <v>27</v>
      </c>
      <c r="Q87" s="74">
        <v>11</v>
      </c>
      <c r="R87" s="136" t="s">
        <v>28</v>
      </c>
      <c r="S87" s="74" t="s">
        <v>41</v>
      </c>
      <c r="T87" s="74" t="s">
        <v>218</v>
      </c>
    </row>
    <row r="88" spans="1:21" ht="13" hidden="1">
      <c r="A88" s="345" t="str">
        <f>HYPERLINK("https://phillipreeve.net/blog/review-voigtlander-10mm-5-6-e-hyper-wide-heliar/","Voigtlander 10mm F5.6 Hyper Wide ")</f>
        <v xml:space="preserve">Voigtlander 10mm F5.6 Hyper Wide </v>
      </c>
      <c r="B88" s="249">
        <v>375</v>
      </c>
      <c r="C88" s="346">
        <v>10</v>
      </c>
      <c r="D88" s="347">
        <v>5.6</v>
      </c>
      <c r="E88" s="349">
        <v>67</v>
      </c>
      <c r="F88" s="350" t="s">
        <v>24</v>
      </c>
      <c r="G88" s="351" t="s">
        <v>25</v>
      </c>
      <c r="H88" s="255" t="s">
        <v>26</v>
      </c>
      <c r="I88" s="255">
        <v>6.7000000000000004E-2</v>
      </c>
      <c r="J88" s="352">
        <v>1099</v>
      </c>
      <c r="K88" s="353" t="str">
        <f>HYPERLINK("https://amzn.to/2jJ8WxH","link*")</f>
        <v>link*</v>
      </c>
      <c r="L88" s="353" t="str">
        <f>HYPERLINK("https://www.bhphotovideo.com/c/product/1219550-REG/voigtlander_ba334b_heliar_hyper_wide_10mm_f_5_6.html/BI/19619/KBID/12129/DFF/d10-v21-t1-x732282/SID/EZ","link*")</f>
        <v>link*</v>
      </c>
      <c r="M88" s="353" t="str">
        <f>HYPERLINK("https://amzn.to/2jG72hr","link*")</f>
        <v>link*</v>
      </c>
      <c r="N88" s="353"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O88" s="354">
        <v>30</v>
      </c>
      <c r="P88" s="254" t="s">
        <v>27</v>
      </c>
      <c r="Q88" s="255">
        <v>10</v>
      </c>
      <c r="R88" s="355" t="s">
        <v>28</v>
      </c>
      <c r="S88" s="260" t="s">
        <v>29</v>
      </c>
      <c r="T88" s="356">
        <v>42552</v>
      </c>
      <c r="U88" s="357" t="s">
        <v>34</v>
      </c>
    </row>
    <row r="89" spans="1:21" ht="13" hidden="1">
      <c r="A89" s="196" t="str">
        <f>HYPERLINK("https://phillipreeve.net/blog/review-samyang-af-2-4-28-fe-at-least-its-small/","Samyang AF 24mm F/2.8")</f>
        <v>Samyang AF 24mm F/2.8</v>
      </c>
      <c r="B89" s="60">
        <v>93</v>
      </c>
      <c r="C89" s="67">
        <v>24</v>
      </c>
      <c r="D89" s="64">
        <v>2.8</v>
      </c>
      <c r="E89" s="194">
        <v>61</v>
      </c>
      <c r="F89" s="216">
        <v>37</v>
      </c>
      <c r="G89" s="70" t="s">
        <v>36</v>
      </c>
      <c r="H89" s="72" t="s">
        <v>124</v>
      </c>
      <c r="I89" s="74">
        <v>0.15</v>
      </c>
      <c r="J89" s="184">
        <v>279</v>
      </c>
      <c r="K89" s="79" t="str">
        <f>HYPERLINK("https://amzn.to/2NEHZ7c","link*")</f>
        <v>link*</v>
      </c>
      <c r="L89" s="79" t="str">
        <f>HYPERLINK("https://www.bhphotovideo.com/c/product/1413350-REG/samyang_syio24af_e_af_24mm_f_2_8_fe.html/BI/19619/KBID/12129/kw/SASYIO24AFE/DFF/d10-v2-t1-xSASYIO24AFE","link*")</f>
        <v>link*</v>
      </c>
      <c r="M89" s="79" t="str">
        <f>HYPERLINK("https://amzn.to/2Onv1QE","link*")</f>
        <v>link*</v>
      </c>
      <c r="N89"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89" s="84">
        <v>20</v>
      </c>
      <c r="P89" s="70" t="s">
        <v>27</v>
      </c>
      <c r="Q89" s="74">
        <v>9</v>
      </c>
      <c r="R89" s="136" t="s">
        <v>127</v>
      </c>
      <c r="S89" s="74" t="s">
        <v>38</v>
      </c>
      <c r="T89" s="125"/>
    </row>
    <row r="90" spans="1:21" ht="13" hidden="1">
      <c r="A90" s="196" t="str">
        <f>HYPERLINK("https://phillipreeve.net/blog/review-sony-fe-2-824-70mm-gm/","Sony GM 2.8/24-70")</f>
        <v>Sony GM 2.8/24-70</v>
      </c>
      <c r="B90" s="60">
        <v>886</v>
      </c>
      <c r="C90" s="67">
        <v>24</v>
      </c>
      <c r="D90" s="64">
        <v>2.8</v>
      </c>
      <c r="E90" s="194">
        <v>88</v>
      </c>
      <c r="F90" s="216">
        <v>136</v>
      </c>
      <c r="G90" s="70" t="s">
        <v>36</v>
      </c>
      <c r="H90" s="72" t="s">
        <v>68</v>
      </c>
      <c r="I90" s="201">
        <v>0.25</v>
      </c>
      <c r="J90" s="76">
        <v>2199</v>
      </c>
      <c r="K90" s="79" t="str">
        <f>HYPERLINK("https://amzn.to/2STHavK","link*")</f>
        <v>link*</v>
      </c>
      <c r="L90" s="79" t="str">
        <f>HYPERLINK("https://www.bhphotovideo.com/c/search?Ntt=gm%2024-70&amp;N=0&amp;InitialSearch=yes&amp;sts=ma&amp;Top+Nav-Search=&amp;BI=19619&amp;KBID=12129&amp;KWID=EZ","link*")</f>
        <v>link*</v>
      </c>
      <c r="M90" s="79" t="str">
        <f>HYPERLINK("https://amzn.to/2ZwoyU7","link*")</f>
        <v>link*</v>
      </c>
      <c r="N90"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90" s="84">
        <v>38</v>
      </c>
      <c r="P90" s="70" t="s">
        <v>27</v>
      </c>
      <c r="Q90" s="74">
        <v>11</v>
      </c>
      <c r="R90" s="136" t="s">
        <v>54</v>
      </c>
      <c r="S90" s="74" t="s">
        <v>41</v>
      </c>
      <c r="T90" s="74" t="s">
        <v>214</v>
      </c>
    </row>
    <row r="91" spans="1:21" ht="13" hidden="1">
      <c r="A91" s="323" t="s">
        <v>129</v>
      </c>
      <c r="B91" s="60">
        <v>780</v>
      </c>
      <c r="C91" s="67">
        <v>24</v>
      </c>
      <c r="D91" s="64" t="s">
        <v>130</v>
      </c>
      <c r="E91" s="194">
        <v>80</v>
      </c>
      <c r="F91" s="216">
        <v>119</v>
      </c>
      <c r="G91" s="70" t="s">
        <v>36</v>
      </c>
      <c r="H91" s="72" t="s">
        <v>64</v>
      </c>
      <c r="I91" s="201">
        <v>0.27</v>
      </c>
      <c r="J91" s="76">
        <v>998</v>
      </c>
      <c r="K91" s="79" t="str">
        <f>HYPERLINK("http://amzn.to/2fbX5FU","link*")</f>
        <v>link*</v>
      </c>
      <c r="L91" s="79" t="str">
        <f>HYPERLINK("https://www.bhphotovideo.com/c/search?Ntt=sony%2024-240&amp;N=0&amp;InitialSearch=yes&amp;sts=ma&amp;Top+Nav-Search=&amp;BI=19619&amp;KBID=12129&amp;KWID=EZ","link*")</f>
        <v>link*</v>
      </c>
      <c r="M91" s="79" t="str">
        <f>HYPERLINK("http://amzn.to/2wyrL7A","link*")</f>
        <v>link*</v>
      </c>
      <c r="N91"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91" s="84">
        <v>50</v>
      </c>
      <c r="P91" s="134" t="s">
        <v>66</v>
      </c>
      <c r="Q91" s="74">
        <v>7</v>
      </c>
      <c r="R91" s="136" t="s">
        <v>133</v>
      </c>
      <c r="S91" s="74" t="s">
        <v>41</v>
      </c>
      <c r="T91" s="74" t="s">
        <v>219</v>
      </c>
    </row>
    <row r="92" spans="1:21" ht="13" hidden="1">
      <c r="A92" s="323" t="s">
        <v>134</v>
      </c>
      <c r="B92" s="60">
        <v>663</v>
      </c>
      <c r="C92" s="67">
        <v>24</v>
      </c>
      <c r="D92" s="64">
        <v>4</v>
      </c>
      <c r="E92" s="194">
        <v>83</v>
      </c>
      <c r="F92" s="211">
        <v>113</v>
      </c>
      <c r="G92" s="70" t="s">
        <v>36</v>
      </c>
      <c r="H92" s="72" t="s">
        <v>80</v>
      </c>
      <c r="I92" s="201">
        <v>0.31</v>
      </c>
      <c r="J92" s="76">
        <v>1398</v>
      </c>
      <c r="K92" s="79" t="str">
        <f>HYPERLINK("https://amzn.to/2K7LwMR","link*")</f>
        <v>link*</v>
      </c>
      <c r="L92" s="79" t="str">
        <f>HYPERLINK("https://www.bhphotovideo.com/c/search?Ntt=sony%2024-105&amp;N=0&amp;InitialSearch=yes&amp;sts=ma&amp;Top+Nav-Search=&amp;BI=19619&amp;KBID=12129&amp;KWID=EZ","link*")</f>
        <v>link*</v>
      </c>
      <c r="M92" s="79" t="str">
        <f>HYPERLINK("https://amzn.to/2Ld8hOS","link*")</f>
        <v>link*</v>
      </c>
      <c r="N92"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92" s="84">
        <v>38</v>
      </c>
      <c r="P92" s="134" t="s">
        <v>66</v>
      </c>
      <c r="Q92" s="74">
        <v>9</v>
      </c>
      <c r="R92" s="136" t="s">
        <v>135</v>
      </c>
      <c r="S92" s="74" t="s">
        <v>41</v>
      </c>
      <c r="T92" s="74" t="s">
        <v>220</v>
      </c>
    </row>
    <row r="93" spans="1:21" ht="13" hidden="1">
      <c r="A93" s="196" t="str">
        <f>HYPERLINK("https://phillipreeve.net/blog/rolling-review-carl-zeiss-vario-tessar-t-fe-424-70-za/","Sony ZA 4/24-70 OSS")</f>
        <v>Sony ZA 4/24-70 OSS</v>
      </c>
      <c r="B93" s="60">
        <v>426</v>
      </c>
      <c r="C93" s="67">
        <v>24</v>
      </c>
      <c r="D93" s="64">
        <v>4</v>
      </c>
      <c r="E93" s="194">
        <v>73</v>
      </c>
      <c r="F93" s="211">
        <v>95</v>
      </c>
      <c r="G93" s="70" t="s">
        <v>36</v>
      </c>
      <c r="H93" s="72" t="s">
        <v>73</v>
      </c>
      <c r="I93" s="74">
        <v>0.2</v>
      </c>
      <c r="J93" s="76">
        <v>898</v>
      </c>
      <c r="K93" s="79" t="str">
        <f>HYPERLINK("http://amzn.to/2vlG2Yq","link*")</f>
        <v>link*</v>
      </c>
      <c r="L93" s="79" t="str">
        <f>HYPERLINK("https://www.bhphotovideo.com/c/product/1008126-REG/sony_sel2470z_vario_tessar_t_fe_24_70mm.html/BI/19619/KBID/12129/DFF/d10-v21-t1-x466842/SID/EZ","link*")</f>
        <v>link*</v>
      </c>
      <c r="M93" s="79" t="str">
        <f>HYPERLINK("http://amzn.to/2fl1XZk","link*")</f>
        <v>link*</v>
      </c>
      <c r="N93" s="79"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93" s="84">
        <v>40</v>
      </c>
      <c r="P93" s="134" t="s">
        <v>66</v>
      </c>
      <c r="Q93" s="74">
        <v>7</v>
      </c>
      <c r="R93" s="136" t="s">
        <v>43</v>
      </c>
      <c r="S93" s="74" t="s">
        <v>41</v>
      </c>
      <c r="T93" s="74" t="s">
        <v>221</v>
      </c>
    </row>
    <row r="94" spans="1:21" ht="13" hidden="1">
      <c r="A94" s="196" t="str">
        <f>HYPERLINK("https://phillipreeve.net/blog/review-zeiss-batis-distagon-t-25mm-f2/","Zeiss Batis 2/25")</f>
        <v>Zeiss Batis 2/25</v>
      </c>
      <c r="B94" s="60">
        <v>335</v>
      </c>
      <c r="C94" s="67">
        <v>25</v>
      </c>
      <c r="D94" s="64">
        <v>2</v>
      </c>
      <c r="E94" s="194">
        <v>92</v>
      </c>
      <c r="F94" s="211">
        <v>78</v>
      </c>
      <c r="G94" s="70" t="s">
        <v>36</v>
      </c>
      <c r="H94" s="72" t="s">
        <v>73</v>
      </c>
      <c r="I94" s="74">
        <v>0.19</v>
      </c>
      <c r="J94" s="76">
        <v>1299</v>
      </c>
      <c r="K94" s="79" t="str">
        <f>HYPERLINK("https://amzn.to/2ypHQiT","link*")</f>
        <v>link*</v>
      </c>
      <c r="L94" s="79" t="str">
        <f>HYPERLINK("https://www.bhphotovideo.com/c/product/1140832-REG/zeiss_2103_750_25mm_f_2_0_batis_wide.html/BI/19619/KBID/12129/DFF/d10-v21-t1-x627141/SID/EZ","link*")</f>
        <v>link*</v>
      </c>
      <c r="M94" s="79" t="str">
        <f>HYPERLINK("https://amzn.to/2L20DIj","link*")</f>
        <v>link*</v>
      </c>
      <c r="N94" s="7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94" s="84">
        <v>20</v>
      </c>
      <c r="P94" s="70" t="s">
        <v>27</v>
      </c>
      <c r="Q94" s="74">
        <v>9</v>
      </c>
      <c r="R94" s="136" t="s">
        <v>140</v>
      </c>
      <c r="S94" s="74" t="s">
        <v>87</v>
      </c>
      <c r="T94" s="125"/>
    </row>
    <row r="95" spans="1:21" ht="13" hidden="1">
      <c r="A95" s="196" t="str">
        <f>HYPERLINK("https://phillipreeve.net/blog/review-zeiss-loxia-2-4-25mm-distagon/","Zeiss Loxia 2.4/25")</f>
        <v>Zeiss Loxia 2.4/25</v>
      </c>
      <c r="B95" s="60">
        <v>393</v>
      </c>
      <c r="C95" s="67">
        <v>25</v>
      </c>
      <c r="D95" s="64">
        <v>2.4</v>
      </c>
      <c r="E95" s="194">
        <v>62</v>
      </c>
      <c r="F95" s="211">
        <v>75</v>
      </c>
      <c r="G95" s="325" t="s">
        <v>25</v>
      </c>
      <c r="H95" s="72" t="s">
        <v>131</v>
      </c>
      <c r="I95" s="74">
        <v>0.16</v>
      </c>
      <c r="J95" s="76">
        <v>1299</v>
      </c>
      <c r="K95" s="79" t="str">
        <f>HYPERLINK("https://amzn.to/2OlyeAf","link*")</f>
        <v>link*</v>
      </c>
      <c r="L95" s="79" t="str">
        <f>HYPERLINK("https://www.bhphotovideo.com/c/product/1389169-REG/zeiss_000000_2218_783_loxia_25mm_f_2_4_lens.html/BI/19619/KBID/12129/kw/ZE2524L/DFF/d10-v2-t1-xZE2524L","link*")</f>
        <v>link*</v>
      </c>
      <c r="M95" s="79" t="str">
        <f>HYPERLINK("https://amzn.to/2OlyeAf","link*")</f>
        <v>link*</v>
      </c>
      <c r="N95" s="79" t="e">
        <f>HYPERLINK("http://rover.ebay.com/rover/1/711-53200-19255-0/1?icep_ff3=9&amp;pub=5575076376&amp;toolid=10001&amp;campid=5338573609&amp;customid=&amp;icep_uq=Zeissloxia+25mm&amp;icep_sellerId=&amp;icep_ex_kw=&amp;icep_sortBy=12&amp;icep_catId=3323&amp;icep_minPrice=&amp;icep_maxPrice=&amp;ipn=psmain&amp;icep_vectorid=2"&amp;"29466&amp;kwid=902099&amp;mtid=824&amp;kw=lg","link*")</f>
        <v>#VALUE!</v>
      </c>
      <c r="O95" s="84">
        <v>25</v>
      </c>
      <c r="P95" s="70" t="s">
        <v>27</v>
      </c>
      <c r="Q95" s="74">
        <v>10</v>
      </c>
      <c r="R95" s="136" t="s">
        <v>140</v>
      </c>
      <c r="S95" s="74" t="s">
        <v>87</v>
      </c>
      <c r="T95" s="125"/>
    </row>
    <row r="96" spans="1:21" ht="13" hidden="1">
      <c r="A96" s="358" t="s">
        <v>35</v>
      </c>
      <c r="B96" s="359">
        <v>565</v>
      </c>
      <c r="C96" s="360">
        <v>12</v>
      </c>
      <c r="D96" s="361">
        <v>4</v>
      </c>
      <c r="E96" s="362">
        <v>87</v>
      </c>
      <c r="F96" s="363">
        <v>117</v>
      </c>
      <c r="G96" s="364" t="s">
        <v>36</v>
      </c>
      <c r="H96" s="365" t="s">
        <v>26</v>
      </c>
      <c r="I96" s="365">
        <v>0.14000000000000001</v>
      </c>
      <c r="J96" s="366">
        <v>1699</v>
      </c>
      <c r="K96" s="367" t="str">
        <f>HYPERLINK("https://amzn.to/2SSzKc4","link*")</f>
        <v>link*</v>
      </c>
      <c r="L96" s="367" t="str">
        <f>HYPERLINK("https://www.bhphotovideo.com/c/product/1338517-REG/sony_sel1224g_fe_12_24mm_f_4_g.html/BI/19619/KBID/12129/DFF/d10-v21-t1-x822838/SID/EZ","link*")</f>
        <v>link*</v>
      </c>
      <c r="M96" s="367" t="str">
        <f>HYPERLINK("https://amzn.to/2Kg94zb","link*")</f>
        <v>link*</v>
      </c>
      <c r="N96" s="367"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c r="O96" s="368">
        <v>24</v>
      </c>
      <c r="P96" s="364" t="s">
        <v>27</v>
      </c>
      <c r="Q96" s="365">
        <v>7</v>
      </c>
      <c r="R96" s="369" t="s">
        <v>40</v>
      </c>
      <c r="S96" s="370" t="s">
        <v>41</v>
      </c>
      <c r="T96" s="371">
        <v>42856</v>
      </c>
      <c r="U96" s="372"/>
    </row>
    <row r="97" spans="1:21" ht="13" hidden="1">
      <c r="A97" s="196" t="str">
        <f>HYPERLINK("https://www.systemkamera-forum.de/blog/2015/05/sony-fe-28mm-f2-test-und-erfahrungsbericht/","Sony FE 2/28")</f>
        <v>Sony FE 2/28</v>
      </c>
      <c r="B97" s="60">
        <v>200</v>
      </c>
      <c r="C97" s="67">
        <v>28</v>
      </c>
      <c r="D97" s="64">
        <v>2</v>
      </c>
      <c r="E97" s="194">
        <v>60</v>
      </c>
      <c r="F97" s="211">
        <v>60</v>
      </c>
      <c r="G97" s="70" t="s">
        <v>36</v>
      </c>
      <c r="H97" s="72" t="s">
        <v>124</v>
      </c>
      <c r="I97" s="74">
        <v>0.13</v>
      </c>
      <c r="J97" s="156">
        <v>448</v>
      </c>
      <c r="K97" s="79" t="str">
        <f>HYPERLINK("https://amzn.to/2GXJWdo","link*")</f>
        <v>link*</v>
      </c>
      <c r="L97" s="79" t="str">
        <f>HYPERLINK("https://www.bhphotovideo.com/c/product/1402637-REG/sony_fe_28mm_f_2_lens.html/BI/19619/KBID/12129/kw/SO2820F/DFF/d10-v2-t1-xSO2820F","link*")</f>
        <v>link*</v>
      </c>
      <c r="M97" s="79" t="str">
        <f>HYPERLINK("http://amzn.to/2wyLOCO","link*")</f>
        <v>link*</v>
      </c>
      <c r="N97" s="79"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97" s="84">
        <v>29</v>
      </c>
      <c r="P97" s="70" t="s">
        <v>27</v>
      </c>
      <c r="Q97" s="74">
        <v>9</v>
      </c>
      <c r="R97" s="136" t="s">
        <v>91</v>
      </c>
      <c r="S97" s="74" t="s">
        <v>41</v>
      </c>
      <c r="T97" s="74" t="s">
        <v>219</v>
      </c>
    </row>
    <row r="98" spans="1:21" ht="13" hidden="1">
      <c r="A98" s="196" t="str">
        <f>HYPERLINK("https://phillipreeve.net/blog/review-tamron-28-75mm-f-2-8-di-iii-rxd-sony-e-mount/","Tamron 2.8/28-75")</f>
        <v>Tamron 2.8/28-75</v>
      </c>
      <c r="B98" s="60">
        <v>550</v>
      </c>
      <c r="C98" s="67">
        <v>28</v>
      </c>
      <c r="D98" s="64">
        <v>2.8</v>
      </c>
      <c r="E98" s="194">
        <v>73</v>
      </c>
      <c r="F98" s="211">
        <v>118</v>
      </c>
      <c r="G98" s="70" t="s">
        <v>36</v>
      </c>
      <c r="H98" s="72" t="s">
        <v>73</v>
      </c>
      <c r="I98" s="201">
        <v>0.34</v>
      </c>
      <c r="J98" s="156">
        <v>879</v>
      </c>
      <c r="K98" s="79" t="str">
        <f>HYPERLINK("https://amzn.to/2ST5uxq","link*")</f>
        <v>link*</v>
      </c>
      <c r="L98" s="79" t="str">
        <f>HYPERLINK("https://www.bhphotovideo.com/c/product/1393332-REG/tamron_a036_28_75mm_f_2_8_di_iii.html/BI/19619/KBID/12129/DFF/d10-v21-t1-x892059/SID/EZ","link*")</f>
        <v>link*</v>
      </c>
      <c r="M98" s="79" t="str">
        <f>HYPERLINK("https://amzn.to/2ZmSzdU","link*")</f>
        <v>link*</v>
      </c>
      <c r="N98" s="79"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98" s="84">
        <v>19</v>
      </c>
      <c r="P98" s="70" t="s">
        <v>27</v>
      </c>
      <c r="Q98" s="74">
        <v>9</v>
      </c>
      <c r="R98" s="136" t="s">
        <v>122</v>
      </c>
      <c r="S98" s="74" t="s">
        <v>78</v>
      </c>
      <c r="T98" s="125"/>
    </row>
    <row r="99" spans="1:21" ht="13" hidden="1">
      <c r="A99" s="323" t="s">
        <v>145</v>
      </c>
      <c r="B99" s="60">
        <v>295</v>
      </c>
      <c r="C99" s="67">
        <v>28</v>
      </c>
      <c r="D99" s="64" t="s">
        <v>146</v>
      </c>
      <c r="E99" s="194">
        <v>73</v>
      </c>
      <c r="F99" s="211">
        <v>83</v>
      </c>
      <c r="G99" s="70" t="s">
        <v>36</v>
      </c>
      <c r="H99" s="72" t="s">
        <v>147</v>
      </c>
      <c r="I99" s="74">
        <v>0.19</v>
      </c>
      <c r="J99" s="76">
        <v>398</v>
      </c>
      <c r="K99" s="79" t="str">
        <f>HYPERLINK("https://www.amazon.com/gp/product/B00FYOFADE/ref=as_li_tl?ie=UTF8&amp;tag=wwwphillipree-20&amp;camp=1789&amp;creative=9325&amp;linkCode=as2&amp;creativeASIN=B00FYOFADE&amp;linkId=96720b245156eae53bb1a672d4453d3f","link*")</f>
        <v>link*</v>
      </c>
      <c r="L99" s="79" t="str">
        <f>HYPERLINK("https://www.bhphotovideo.com/c/product/1015472-REG/sony_sel2870_fe_28_70mm_f_3_5_5_6_oss.html/BI/19619/KBID/12129/DFF/d10-v21-t1-x473993/SID/EZ","link*")</f>
        <v>link*</v>
      </c>
      <c r="M99" s="79" t="str">
        <f>HYPERLINK("https://www.amazon.de/gp/product/B00HSHFPD0/ref=as_li_tl?ie=UTF8&amp;tag=wwwphillipree-21&amp;camp=1638&amp;creative=6742&amp;linkCode=as2&amp;creativeASIN=B00HSHFPD0&amp;linkId=6701f30673f8a4071232ca85e1953506","link*")</f>
        <v>link*</v>
      </c>
      <c r="N99" s="79"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99" s="84">
        <v>30</v>
      </c>
      <c r="P99" s="134" t="s">
        <v>66</v>
      </c>
      <c r="Q99" s="74">
        <v>7</v>
      </c>
      <c r="R99" s="136" t="s">
        <v>91</v>
      </c>
      <c r="S99" s="74" t="s">
        <v>41</v>
      </c>
      <c r="T99" s="74" t="s">
        <v>222</v>
      </c>
    </row>
    <row r="100" spans="1:21" ht="13" hidden="1">
      <c r="A100" s="323" t="s">
        <v>151</v>
      </c>
      <c r="B100" s="60">
        <v>1215</v>
      </c>
      <c r="C100" s="67">
        <v>28</v>
      </c>
      <c r="D100" s="64">
        <v>4</v>
      </c>
      <c r="E100" s="194">
        <v>105</v>
      </c>
      <c r="F100" s="211">
        <v>165</v>
      </c>
      <c r="G100" s="70" t="s">
        <v>36</v>
      </c>
      <c r="H100" s="234" t="s">
        <v>152</v>
      </c>
      <c r="I100" s="125"/>
      <c r="J100" s="76">
        <v>249</v>
      </c>
      <c r="K100" s="79" t="str">
        <f>HYPERLINK("http://amzn.to/2v2kiy9","link*")</f>
        <v>link*</v>
      </c>
      <c r="L100" s="79" t="str">
        <f>HYPERLINK("https://www.bhphotovideo.com/c/product/1082051-REG/sony_selp28135g_e_pz_28_135mm_f_4.html/BI/19619/KBID/12129/DFF/d10-v21-t1-x556056/SID/EZ","link*")</f>
        <v>link*</v>
      </c>
      <c r="M100" s="79" t="str">
        <f>HYPERLINK("http://amzn.to/2wlpg9b","link*")</f>
        <v>link*</v>
      </c>
      <c r="N100" s="79"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100" s="84">
        <v>40</v>
      </c>
      <c r="P100" s="134" t="s">
        <v>66</v>
      </c>
      <c r="Q100" s="74">
        <v>9</v>
      </c>
      <c r="R100" s="136" t="s">
        <v>153</v>
      </c>
      <c r="S100" s="74" t="s">
        <v>41</v>
      </c>
      <c r="T100" s="74" t="s">
        <v>224</v>
      </c>
      <c r="U100" s="77" t="s">
        <v>154</v>
      </c>
    </row>
    <row r="101" spans="1:21" ht="13" hidden="1">
      <c r="A101" s="323" t="s">
        <v>56</v>
      </c>
      <c r="B101" s="60">
        <v>505</v>
      </c>
      <c r="C101" s="67">
        <v>14</v>
      </c>
      <c r="D101" s="64">
        <v>2.8</v>
      </c>
      <c r="E101" s="65">
        <v>86</v>
      </c>
      <c r="F101" s="65">
        <v>98</v>
      </c>
      <c r="G101" s="74" t="s">
        <v>36</v>
      </c>
      <c r="H101" s="72" t="s">
        <v>26</v>
      </c>
      <c r="I101" s="74">
        <v>0.12</v>
      </c>
      <c r="J101" s="76">
        <v>799</v>
      </c>
      <c r="K101" s="79" t="str">
        <f>HYPERLINK("https://amzn.to/2SX2HUi","link*")</f>
        <v>link*</v>
      </c>
      <c r="L101" s="79" t="str">
        <f>HYPERLINK("https://www.bhphotovideo.com/c/product/1352863-REG/samyang_syio14af_e_14mm_f_2_8_f_f_wide.html/BI/19619/KBID/12129/DFF/d10-v21-t1-x837928/SID/EZ","link*")</f>
        <v>link*</v>
      </c>
      <c r="M101" s="79" t="str">
        <f>HYPERLINK("https://amzn.to/31hwSIL","link*")</f>
        <v>link*</v>
      </c>
      <c r="N101" s="79"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101" s="84">
        <v>20</v>
      </c>
      <c r="P101" s="70" t="s">
        <v>27</v>
      </c>
      <c r="Q101" s="74">
        <v>7</v>
      </c>
      <c r="R101" s="112">
        <v>43752</v>
      </c>
      <c r="S101" s="74" t="s">
        <v>38</v>
      </c>
      <c r="T101" s="125"/>
    </row>
    <row r="102" spans="1:21" ht="13" hidden="1">
      <c r="A102" s="196" t="str">
        <f>HYPERLINK("https://phillipreeve.net/blog/review-sony-fe-35mm-1-4-za/","Sony ZA 1.4/35")</f>
        <v>Sony ZA 1.4/35</v>
      </c>
      <c r="B102" s="60">
        <v>630</v>
      </c>
      <c r="C102" s="67">
        <v>35</v>
      </c>
      <c r="D102" s="64">
        <v>1.4</v>
      </c>
      <c r="E102" s="194">
        <v>79</v>
      </c>
      <c r="F102" s="211">
        <v>112</v>
      </c>
      <c r="G102" s="74" t="s">
        <v>36</v>
      </c>
      <c r="H102" s="72" t="s">
        <v>64</v>
      </c>
      <c r="I102" s="74">
        <v>0.18</v>
      </c>
      <c r="J102" s="76">
        <v>1599</v>
      </c>
      <c r="K102" s="79" t="str">
        <f>HYPERLINK("https://amzn.to/2LRSMOS","link*")</f>
        <v>link*</v>
      </c>
      <c r="L102" s="79" t="str">
        <f>HYPERLINK("https://www.bhphotovideo.com/c/product/1126137-REG/sony_sel35f14z_distagon_t_fe_35mm.html/BI/19619/KBID/12129/DFF/d10-v21-t1-x612725/SID/EZ","link*")</f>
        <v>link*</v>
      </c>
      <c r="M102" s="79" t="str">
        <f>HYPERLINK("https://amzn.to/2ZmfSnX","link*")</f>
        <v>link*</v>
      </c>
      <c r="N102" s="79"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102" s="84">
        <v>30</v>
      </c>
      <c r="P102" s="70" t="s">
        <v>27</v>
      </c>
      <c r="Q102" s="74">
        <v>9</v>
      </c>
      <c r="R102" s="112">
        <v>43689</v>
      </c>
      <c r="S102" s="74" t="s">
        <v>41</v>
      </c>
      <c r="T102" s="74" t="s">
        <v>219</v>
      </c>
    </row>
    <row r="103" spans="1:21" ht="13" hidden="1">
      <c r="A103" s="323" t="s">
        <v>155</v>
      </c>
      <c r="B103" s="60">
        <v>645</v>
      </c>
      <c r="C103" s="67">
        <v>35</v>
      </c>
      <c r="D103" s="64">
        <v>1.4</v>
      </c>
      <c r="E103" s="194">
        <v>76</v>
      </c>
      <c r="F103" s="216">
        <v>115</v>
      </c>
      <c r="G103" s="74" t="s">
        <v>36</v>
      </c>
      <c r="H103" s="72" t="s">
        <v>73</v>
      </c>
      <c r="I103" s="74">
        <v>0.17</v>
      </c>
      <c r="J103" s="76">
        <v>799</v>
      </c>
      <c r="K103" s="79" t="str">
        <f>HYPERLINK("https://amzn.to/2K8DDXH","link*")</f>
        <v>link*</v>
      </c>
      <c r="L103" s="79" t="str">
        <f t="shared" ref="L103:L104" si="0">HYPERLINK("https://www.bhphotovideo.com/c/product/1381712-REG/voigtlander_nokton_classic_35mm_f_1_4.html/BI/19619/KBID/12129/DFF/d10-v21-t1-x877353/SID/EZ","link*")</f>
        <v>link*</v>
      </c>
      <c r="M103" s="79" t="str">
        <f>HYPERLINK("https://amzn.to/2Zhl3FI","link*")</f>
        <v>link*</v>
      </c>
      <c r="N103" s="79"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103" s="84">
        <v>30</v>
      </c>
      <c r="P103" s="70" t="s">
        <v>27</v>
      </c>
      <c r="Q103" s="74">
        <v>9</v>
      </c>
      <c r="R103" s="112">
        <v>43719</v>
      </c>
      <c r="S103" s="74" t="s">
        <v>38</v>
      </c>
      <c r="T103" s="125"/>
      <c r="U103" s="77" t="s">
        <v>156</v>
      </c>
    </row>
    <row r="104" spans="1:21" ht="13" hidden="1">
      <c r="A104" s="196" t="str">
        <f>HYPERLINK("https://phillipreeve.net/blog/review-voigtlander-35mm-1-4-nokton-e-classic/","Voigtlander 35mm F1.4 Nokton Classic")</f>
        <v>Voigtlander 35mm F1.4 Nokton Classic</v>
      </c>
      <c r="B104" s="60">
        <v>262</v>
      </c>
      <c r="C104" s="67">
        <v>35</v>
      </c>
      <c r="D104" s="64">
        <v>1.4</v>
      </c>
      <c r="E104" s="194">
        <v>67</v>
      </c>
      <c r="F104" s="216">
        <v>40</v>
      </c>
      <c r="G104" s="328" t="s">
        <v>25</v>
      </c>
      <c r="H104" s="72" t="s">
        <v>71</v>
      </c>
      <c r="I104" s="74">
        <v>0.16</v>
      </c>
      <c r="J104" s="76">
        <v>799</v>
      </c>
      <c r="K104" s="79" t="str">
        <f>HYPERLINK("https://amzn.to/2M1M8WH","link*")</f>
        <v>link*</v>
      </c>
      <c r="L104" s="79" t="str">
        <f t="shared" si="0"/>
        <v>link*</v>
      </c>
      <c r="M104" s="79" t="str">
        <f>HYPERLINK("https://amzn.to/2ZswTZ3","link*")</f>
        <v>link*</v>
      </c>
      <c r="N104" s="79"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c r="O104" s="84">
        <v>30</v>
      </c>
      <c r="P104" s="70" t="s">
        <v>27</v>
      </c>
      <c r="Q104" s="74">
        <v>10</v>
      </c>
      <c r="R104" s="112">
        <v>43624</v>
      </c>
      <c r="S104" s="74" t="s">
        <v>29</v>
      </c>
      <c r="T104" s="74" t="s">
        <v>226</v>
      </c>
    </row>
    <row r="105" spans="1:21" ht="13" hidden="1">
      <c r="A105" s="196" t="str">
        <f>HYPERLINK("https://phillipreeve.net/blog/review-voigtlander-15mm-4-5-e-super-wide-heliar/","Voigtlander 15mm F4.5 Super Wide Heliar")</f>
        <v>Voigtlander 15mm F4.5 Super Wide Heliar</v>
      </c>
      <c r="B105" s="60">
        <v>298</v>
      </c>
      <c r="C105" s="67">
        <v>15</v>
      </c>
      <c r="D105" s="64">
        <v>4.5</v>
      </c>
      <c r="E105" s="248">
        <v>67</v>
      </c>
      <c r="F105" s="324">
        <v>62</v>
      </c>
      <c r="G105" s="325" t="s">
        <v>25</v>
      </c>
      <c r="H105" s="72" t="s">
        <v>71</v>
      </c>
      <c r="I105" s="74">
        <v>8.3000000000000004E-2</v>
      </c>
      <c r="J105" s="76">
        <v>799</v>
      </c>
      <c r="K105" s="79" t="str">
        <f>HYPERLINK("https://amzn.to/2YwplrQ","link*")</f>
        <v>link*</v>
      </c>
      <c r="L105" s="79" t="str">
        <f>HYPERLINK("https://www.bhphotovideo.com/c/product/1219549-REG/voigtlander_ba329b_super_wide_heliar_15mm_f_4_5.html/BI/19619/KBID/12129/DFF/d10-v21-t1-x618202/SID/EZ","link*")</f>
        <v>link*</v>
      </c>
      <c r="M105" s="79" t="str">
        <f>HYPERLINK("https://amzn.to/2ZpTKt5","link*")</f>
        <v>link*</v>
      </c>
      <c r="N105" s="79"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O105" s="84">
        <v>30</v>
      </c>
      <c r="P105" s="70" t="s">
        <v>27</v>
      </c>
      <c r="Q105" s="74">
        <v>10</v>
      </c>
      <c r="R105" s="136" t="s">
        <v>43</v>
      </c>
      <c r="S105" s="74" t="s">
        <v>29</v>
      </c>
      <c r="T105" s="74" t="s">
        <v>214</v>
      </c>
    </row>
    <row r="106" spans="1:21" ht="13" hidden="1">
      <c r="A106" s="337" t="s">
        <v>157</v>
      </c>
      <c r="B106" s="60">
        <v>280</v>
      </c>
      <c r="C106" s="67">
        <v>35</v>
      </c>
      <c r="D106" s="64">
        <v>1.8</v>
      </c>
      <c r="E106" s="194">
        <v>66</v>
      </c>
      <c r="F106" s="216">
        <v>73</v>
      </c>
      <c r="G106" s="74" t="s">
        <v>36</v>
      </c>
      <c r="H106" s="72" t="s">
        <v>147</v>
      </c>
      <c r="I106" s="239">
        <v>0.24</v>
      </c>
      <c r="J106" s="76">
        <v>749</v>
      </c>
      <c r="K106" s="113"/>
      <c r="L106" s="79" t="str">
        <f>HYPERLINK("https://www.bhphotovideo.com/c/product/1492866-REG/sony_sel35f18f_35mm_f_1_8_fe_lens.html/BI/19619/KBID/12129/DFF/d10-v21-t1-x975763/SID/EZ","link*")</f>
        <v>link*</v>
      </c>
      <c r="M106" s="79" t="str">
        <f>HYPERLINK("https://amzn.to/2PiATLC","link*")</f>
        <v>link*</v>
      </c>
      <c r="N106" s="79"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106" s="84">
        <v>22</v>
      </c>
      <c r="P106" s="70" t="s">
        <v>27</v>
      </c>
      <c r="Q106" s="74">
        <v>9</v>
      </c>
      <c r="R106" s="112">
        <v>43719</v>
      </c>
      <c r="S106" s="74" t="s">
        <v>41</v>
      </c>
      <c r="T106" s="74" t="s">
        <v>216</v>
      </c>
    </row>
    <row r="107" spans="1:21" ht="13" hidden="1">
      <c r="A107" s="196" t="str">
        <f>HYPERLINK("https://phillipreeve.net/blog/review-zeiss-loxia-35mm-2-0/","Zeiss Loxia 2/35 Biogon T*")</f>
        <v>Zeiss Loxia 2/35 Biogon T*</v>
      </c>
      <c r="B107" s="60">
        <v>340</v>
      </c>
      <c r="C107" s="67">
        <v>35</v>
      </c>
      <c r="D107" s="64">
        <v>2</v>
      </c>
      <c r="E107" s="194">
        <v>62</v>
      </c>
      <c r="F107" s="211">
        <v>66</v>
      </c>
      <c r="G107" s="328" t="s">
        <v>25</v>
      </c>
      <c r="H107" s="72" t="s">
        <v>131</v>
      </c>
      <c r="I107" s="74">
        <v>0.17</v>
      </c>
      <c r="J107" s="76">
        <v>1299</v>
      </c>
      <c r="K107" s="79" t="str">
        <f>HYPERLINK("https://amzn.to/2T2sJWe","link*")</f>
        <v>link*</v>
      </c>
      <c r="L107" s="79" t="str">
        <f>HYPERLINK("https://www.bhphotovideo.com/c/product/1080388-REG/zeiss_2103_749_loxia_35mm_f_2_biogon.html/BI/19619/KBID/12129/DFF/d10-v21-t1-x553792/SID/EZ","link*")</f>
        <v>link*</v>
      </c>
      <c r="M107" s="113" t="s">
        <v>51</v>
      </c>
      <c r="N107" s="79"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O107" s="84">
        <v>30</v>
      </c>
      <c r="P107" s="70" t="s">
        <v>27</v>
      </c>
      <c r="Q107" s="74">
        <v>10</v>
      </c>
      <c r="R107" s="112">
        <v>43625</v>
      </c>
      <c r="S107" s="74" t="s">
        <v>87</v>
      </c>
      <c r="T107" s="125"/>
      <c r="U107" s="77" t="s">
        <v>166</v>
      </c>
    </row>
    <row r="108" spans="1:21" ht="13" hidden="1">
      <c r="A108" s="196" t="str">
        <f>HYPERLINK("http://www.photozone.de/sonyalphaff/865-zeiss35f28ff","Sony ZA 2.8/35")</f>
        <v>Sony ZA 2.8/35</v>
      </c>
      <c r="B108" s="60">
        <v>120</v>
      </c>
      <c r="C108" s="67">
        <v>35</v>
      </c>
      <c r="D108" s="64">
        <v>2.8</v>
      </c>
      <c r="E108" s="194">
        <v>62</v>
      </c>
      <c r="F108" s="211">
        <v>37</v>
      </c>
      <c r="G108" s="74" t="s">
        <v>36</v>
      </c>
      <c r="H108" s="72" t="s">
        <v>124</v>
      </c>
      <c r="I108" s="74">
        <v>0.12</v>
      </c>
      <c r="J108" s="76">
        <v>798</v>
      </c>
      <c r="K108" s="79" t="str">
        <f>HYPERLINK("https://amzn.to/2yvhL24","link*")</f>
        <v>link*</v>
      </c>
      <c r="L108" s="79" t="str">
        <f>HYPERLINK("https://www.bhphotovideo.com/c/product/1008123-REG/sony_sel35f28z_sonnar_t_fe_35mm.html/BI/19619/KBID/12129/DFF/d10-v21-t1-x466840/SID/EZ","link*")</f>
        <v>link*</v>
      </c>
      <c r="M108" s="113" t="s">
        <v>51</v>
      </c>
      <c r="N108" s="79"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108" s="84">
        <v>35</v>
      </c>
      <c r="P108" s="70" t="s">
        <v>27</v>
      </c>
      <c r="Q108" s="74">
        <v>9</v>
      </c>
      <c r="R108" s="112">
        <v>43592</v>
      </c>
      <c r="S108" s="74" t="s">
        <v>41</v>
      </c>
      <c r="T108" s="74" t="s">
        <v>227</v>
      </c>
    </row>
    <row r="109" spans="1:21" ht="13" hidden="1">
      <c r="A109" s="323" t="s">
        <v>158</v>
      </c>
      <c r="B109" s="60">
        <v>86</v>
      </c>
      <c r="C109" s="67">
        <v>35</v>
      </c>
      <c r="D109" s="64">
        <v>2.8</v>
      </c>
      <c r="E109" s="194">
        <v>62</v>
      </c>
      <c r="F109" s="211">
        <v>33</v>
      </c>
      <c r="G109" s="74" t="s">
        <v>36</v>
      </c>
      <c r="H109" s="72" t="s">
        <v>124</v>
      </c>
      <c r="I109" s="74">
        <v>0.12</v>
      </c>
      <c r="J109" s="241">
        <v>399</v>
      </c>
      <c r="K109" s="79" t="str">
        <f t="shared" ref="K109:K110" si="1">HYPERLINK("https://amzn.to/2MGKrxp","link*")</f>
        <v>link*</v>
      </c>
      <c r="L109" s="79" t="str">
        <f>HYPERLINK("https://www.bhphotovideo.com/c/product/1348365-REG/samyang_syio35af_e_35mm_f2_8_compact_wide.html/BI/19619/KBID/12129/DFF/d10-v21-t1-x832776/SID/EZ","link*")</f>
        <v>link*</v>
      </c>
      <c r="M109" s="113" t="s">
        <v>51</v>
      </c>
      <c r="N109" s="79"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109" s="84">
        <v>35</v>
      </c>
      <c r="P109" s="70" t="s">
        <v>27</v>
      </c>
      <c r="Q109" s="74">
        <v>9</v>
      </c>
      <c r="R109" s="112">
        <v>43623</v>
      </c>
      <c r="S109" s="74" t="s">
        <v>38</v>
      </c>
      <c r="T109" s="74" t="s">
        <v>228</v>
      </c>
    </row>
    <row r="110" spans="1:21" ht="13" hidden="1">
      <c r="A110" s="196" t="str">
        <f>HYPERLINK("https://phillipreeve.net/blog/voigtlander-40mm-f1-2-nokton-aspherical-rolling-review/","Voigtlander 40mm F1.2 Nokton")</f>
        <v>Voigtlander 40mm F1.2 Nokton</v>
      </c>
      <c r="B110" s="60">
        <v>420</v>
      </c>
      <c r="C110" s="67">
        <v>40</v>
      </c>
      <c r="D110" s="304">
        <v>1.2</v>
      </c>
      <c r="E110" s="194">
        <v>70</v>
      </c>
      <c r="F110" s="211">
        <v>59</v>
      </c>
      <c r="G110" s="328" t="s">
        <v>25</v>
      </c>
      <c r="H110" s="72" t="s">
        <v>71</v>
      </c>
      <c r="I110" s="74">
        <v>0.16</v>
      </c>
      <c r="J110" s="76">
        <v>1099</v>
      </c>
      <c r="K110" s="79" t="str">
        <f t="shared" si="1"/>
        <v>link*</v>
      </c>
      <c r="L110" s="79" t="str">
        <f>HYPERLINK("https://www.bhphotovideo.com/c/product/1362557-REG/voigtlander_nokton_40mm_f_1_2_aspherical.html/BI/19619/KBID/12129/DFF/d10-v21-t1-x851241/SID/EZ","link*")</f>
        <v>link*</v>
      </c>
      <c r="M110" s="113" t="s">
        <v>51</v>
      </c>
      <c r="N110" s="79"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c r="O110" s="84">
        <v>35</v>
      </c>
      <c r="P110" s="70" t="s">
        <v>27</v>
      </c>
      <c r="Q110" s="74">
        <v>10</v>
      </c>
      <c r="R110" s="112">
        <v>43624</v>
      </c>
      <c r="S110" s="74" t="s">
        <v>29</v>
      </c>
      <c r="T110" s="74" t="s">
        <v>229</v>
      </c>
    </row>
    <row r="111" spans="1:21" ht="13" hidden="1">
      <c r="A111" s="196" t="str">
        <f>HYPERLINK("https://phillipreeve.net/blog/sony-fe-16-35mm-f4-za-t-review/","Sony ZA 4/16-35 OSS ")</f>
        <v xml:space="preserve">Sony ZA 4/16-35 OSS </v>
      </c>
      <c r="B111" s="60">
        <v>523</v>
      </c>
      <c r="C111" s="67">
        <v>16</v>
      </c>
      <c r="D111" s="64">
        <v>4</v>
      </c>
      <c r="E111" s="65">
        <v>78</v>
      </c>
      <c r="F111" s="65">
        <v>98</v>
      </c>
      <c r="G111" s="70" t="s">
        <v>36</v>
      </c>
      <c r="H111" s="72" t="s">
        <v>64</v>
      </c>
      <c r="I111" s="74">
        <v>0.19</v>
      </c>
      <c r="J111" s="76">
        <v>1349</v>
      </c>
      <c r="K111" s="79" t="str">
        <f>HYPERLINK("http://amzn.to/2v2sY7q","link*")</f>
        <v>link*</v>
      </c>
      <c r="L111" s="79" t="str">
        <f>HYPERLINK("https://www.bhphotovideo.com/c/product/1380866-REG/sony_16_35mm_f_4_vario_tsr.html/BI/19619/KBID/12129/kw/SO16354F/DFF/d10-v2-t1-xSO16354F","link*")</f>
        <v>link*</v>
      </c>
      <c r="M111" s="79" t="str">
        <f>HYPERLINK("http://amzn.to/2wyMLuP","link*")</f>
        <v>link*</v>
      </c>
      <c r="N111" s="7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111" s="84">
        <v>28</v>
      </c>
      <c r="P111" s="134" t="s">
        <v>66</v>
      </c>
      <c r="Q111" s="74">
        <v>7</v>
      </c>
      <c r="R111" s="136" t="s">
        <v>43</v>
      </c>
      <c r="S111" s="74" t="s">
        <v>41</v>
      </c>
      <c r="T111" s="74" t="s">
        <v>215</v>
      </c>
    </row>
    <row r="112" spans="1:21" ht="13" hidden="1">
      <c r="A112" s="196" t="str">
        <f>HYPERLINK("https://phillipreeve.net/blog/review-zeiss-batis-2-40-cf/","Zeiss Batis 2/40 CF T*")</f>
        <v>Zeiss Batis 2/40 CF T*</v>
      </c>
      <c r="B112" s="60">
        <v>361</v>
      </c>
      <c r="C112" s="67">
        <v>40</v>
      </c>
      <c r="D112" s="64">
        <v>2</v>
      </c>
      <c r="E112" s="194">
        <v>91</v>
      </c>
      <c r="F112" s="216">
        <v>93</v>
      </c>
      <c r="G112" s="74" t="s">
        <v>36</v>
      </c>
      <c r="H112" s="72" t="s">
        <v>73</v>
      </c>
      <c r="I112" s="239">
        <v>0.3</v>
      </c>
      <c r="J112" s="76">
        <v>1299</v>
      </c>
      <c r="K112" s="79" t="str">
        <f>HYPERLINK("https://amzn.to/2LUN0MF","link*")</f>
        <v>link*</v>
      </c>
      <c r="L112" s="79" t="str">
        <f>HYPERLINK("https://www.bhphotovideo.com/c/product/1436738-REG/zeiss_000000_2239_137_batis_40mm_f_2_cf.html/BI/19619/KBID/12129/DFF/d10-v21-t1-x915694/SID/EZ","link*")</f>
        <v>link*</v>
      </c>
      <c r="M112" s="113" t="s">
        <v>51</v>
      </c>
      <c r="N112" s="79"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112" s="84">
        <v>24</v>
      </c>
      <c r="P112" s="70" t="s">
        <v>27</v>
      </c>
      <c r="Q112" s="74">
        <v>9</v>
      </c>
      <c r="R112" s="112">
        <v>43686</v>
      </c>
      <c r="S112" s="74" t="s">
        <v>87</v>
      </c>
      <c r="T112" s="125"/>
      <c r="U112" s="77" t="s">
        <v>159</v>
      </c>
    </row>
    <row r="113" spans="1:21" ht="13" hidden="1">
      <c r="A113" s="337" t="s">
        <v>160</v>
      </c>
      <c r="B113" s="60">
        <v>162</v>
      </c>
      <c r="C113" s="67">
        <v>45</v>
      </c>
      <c r="D113" s="64">
        <v>1.8</v>
      </c>
      <c r="E113" s="194">
        <v>62</v>
      </c>
      <c r="F113" s="216">
        <v>56</v>
      </c>
      <c r="G113" s="74" t="s">
        <v>36</v>
      </c>
      <c r="H113" s="72" t="s">
        <v>124</v>
      </c>
      <c r="I113" s="74">
        <v>0.12</v>
      </c>
      <c r="J113" s="184">
        <v>399</v>
      </c>
      <c r="K113" s="79" t="str">
        <f>HYPERLINK("https://amzn.to/2YC6MST","link*")</f>
        <v>link*</v>
      </c>
      <c r="L113" s="79" t="str">
        <f>HYPERLINK("https://www.bhphotovideo.com/c/product/1478738-REG/samyang_af_45mm_f_1_8_fe.html/BI/19619/KBID/12129/DFF/d10-v21-t1-x964329/SID/EZ","link*")</f>
        <v>link*</v>
      </c>
      <c r="M113" s="113" t="s">
        <v>51</v>
      </c>
      <c r="N113" s="79"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113" s="84">
        <v>45</v>
      </c>
      <c r="P113" s="70" t="s">
        <v>27</v>
      </c>
      <c r="Q113" s="74">
        <v>9</v>
      </c>
      <c r="R113" s="112">
        <v>43623</v>
      </c>
      <c r="S113" s="74" t="s">
        <v>38</v>
      </c>
      <c r="T113" s="125"/>
    </row>
    <row r="114" spans="1:21" ht="13" hidden="1">
      <c r="A114" s="323" t="s">
        <v>67</v>
      </c>
      <c r="B114" s="60">
        <v>680</v>
      </c>
      <c r="C114" s="67">
        <v>16</v>
      </c>
      <c r="D114" s="64">
        <v>2.8</v>
      </c>
      <c r="E114" s="65">
        <v>89</v>
      </c>
      <c r="F114" s="65">
        <v>122</v>
      </c>
      <c r="G114" s="70" t="s">
        <v>36</v>
      </c>
      <c r="H114" s="72" t="s">
        <v>68</v>
      </c>
      <c r="I114" s="74">
        <v>0.19</v>
      </c>
      <c r="J114" s="76">
        <v>2199</v>
      </c>
      <c r="K114" s="79" t="str">
        <f>HYPERLINK("https://amzn.to/2SR0IRl","link*")</f>
        <v>link*</v>
      </c>
      <c r="L114" s="79" t="str">
        <f>HYPERLINK("https://www.bhphotovideo.com/c/product/1338516-REG/sony_sel1635gm_fe_16_35mm_f_2_8_gm.html/BI/19619/KBID/12129/DFF/d10-v21-t1-x822837/SID/EZ","link*")</f>
        <v>link*</v>
      </c>
      <c r="M114" s="79" t="str">
        <f>HYPERLINK("https://amzn.to/2T1ZxOU","link*")</f>
        <v>link*</v>
      </c>
      <c r="N114" s="79"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114" s="84">
        <v>28</v>
      </c>
      <c r="P114" s="70" t="s">
        <v>27</v>
      </c>
      <c r="Q114" s="74">
        <v>11</v>
      </c>
      <c r="R114" s="136" t="s">
        <v>72</v>
      </c>
      <c r="S114" s="74" t="s">
        <v>41</v>
      </c>
      <c r="T114" s="74" t="s">
        <v>211</v>
      </c>
    </row>
    <row r="115" spans="1:21" ht="13" hidden="1">
      <c r="A115" s="196" t="str">
        <f>HYPERLINK("https://phillipreeve.net/blog/review-voigtlander-50mm-1-2-nokton-e/","Voigtlander 50mm F1.2 Nokton")</f>
        <v>Voigtlander 50mm F1.2 Nokton</v>
      </c>
      <c r="B115" s="60">
        <v>440</v>
      </c>
      <c r="C115" s="67">
        <v>50</v>
      </c>
      <c r="D115" s="304">
        <v>1.2</v>
      </c>
      <c r="E115" s="194">
        <v>70</v>
      </c>
      <c r="F115" s="211">
        <v>58</v>
      </c>
      <c r="G115" s="328" t="s">
        <v>25</v>
      </c>
      <c r="H115" s="72" t="s">
        <v>71</v>
      </c>
      <c r="I115" s="125"/>
      <c r="J115" s="76">
        <v>1099</v>
      </c>
      <c r="K115" s="79" t="str">
        <f>HYPERLINK("https://amzn.to/2OAfE7N","link*")</f>
        <v>link*</v>
      </c>
      <c r="L115" s="79" t="str">
        <f>HYPERLINK("https://www.bhphotovideo.com/c/product/1433349-REG/voigtlander_ba348a_nokton_50mm_f_1_2_aspherical.html/BI/19619/KBID/12129/DFF/d10-v21-t1-x915623/SID/EZ","link*")</f>
        <v>link*</v>
      </c>
      <c r="M115" s="113" t="s">
        <v>51</v>
      </c>
      <c r="N115" s="79" t="e">
        <f>HYPERLINK("http://rover.ebay.com/rover/1/711-53200-19255-0/1?icep_ff3=9&amp;pub=5575076376&amp;toolid=10001&amp;campid=5338164340&amp;customid=&amp;icep_uq=sony+50+1.2&amp;icep_sellerId=&amp;icep_ex_kw=&amp;icep_sortBy=12&amp;icep_catId=3323&amp;icep_minPrice=&amp;icep_maxPrice=&amp;ipn=psmain&amp;icep_vectorid=22946"&amp;"6&amp;kwid=902099&amp;mtid=824&amp;kw=lg","link*")</f>
        <v>#VALUE!</v>
      </c>
      <c r="O115" s="84">
        <v>45</v>
      </c>
      <c r="P115" s="70" t="s">
        <v>27</v>
      </c>
      <c r="Q115" s="74">
        <v>12</v>
      </c>
      <c r="R115" s="112">
        <v>43624</v>
      </c>
      <c r="S115" s="74" t="s">
        <v>29</v>
      </c>
      <c r="T115" s="74" t="s">
        <v>230</v>
      </c>
    </row>
    <row r="116" spans="1:21" ht="13" hidden="1">
      <c r="A116" s="323" t="s">
        <v>163</v>
      </c>
      <c r="B116" s="60">
        <v>778</v>
      </c>
      <c r="C116" s="67">
        <v>50</v>
      </c>
      <c r="D116" s="64">
        <v>1.4</v>
      </c>
      <c r="E116" s="194">
        <v>84</v>
      </c>
      <c r="F116" s="211">
        <v>108</v>
      </c>
      <c r="G116" s="74" t="s">
        <v>36</v>
      </c>
      <c r="H116" s="72" t="s">
        <v>64</v>
      </c>
      <c r="I116" s="74">
        <v>0.15</v>
      </c>
      <c r="J116" s="76">
        <v>1499</v>
      </c>
      <c r="K116" s="79" t="str">
        <f>HYPERLINK("https://amzn.to/2K88EL7","link*")</f>
        <v>link*</v>
      </c>
      <c r="L116" s="113" t="s">
        <v>51</v>
      </c>
      <c r="M116" s="113" t="s">
        <v>51</v>
      </c>
      <c r="N116" s="79"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116" s="84">
        <v>45</v>
      </c>
      <c r="P116" s="70" t="s">
        <v>27</v>
      </c>
      <c r="Q116" s="74">
        <v>11</v>
      </c>
      <c r="R116" s="112">
        <v>43720</v>
      </c>
      <c r="S116" s="74" t="s">
        <v>41</v>
      </c>
      <c r="T116" s="125"/>
    </row>
    <row r="117" spans="1:21" ht="13" hidden="1">
      <c r="A117" s="327" t="str">
        <f>HYPERLINK("https://phillipreeve.net/blog/review-tamron-17-28mm-f-2-8-di-iii-rxd/","Tamron 17-28mm f/2.8 Di III RXD")</f>
        <v>Tamron 17-28mm f/2.8 Di III RXD</v>
      </c>
      <c r="B117" s="60">
        <v>420</v>
      </c>
      <c r="C117" s="67">
        <v>17</v>
      </c>
      <c r="D117" s="64">
        <v>2.8</v>
      </c>
      <c r="E117" s="152">
        <v>73</v>
      </c>
      <c r="F117" s="65">
        <v>99</v>
      </c>
      <c r="G117" s="70" t="s">
        <v>36</v>
      </c>
      <c r="H117" s="72" t="s">
        <v>73</v>
      </c>
      <c r="I117" s="74">
        <v>0.19</v>
      </c>
      <c r="J117" s="156">
        <v>899</v>
      </c>
      <c r="K117" s="79" t="str">
        <f>HYPERLINK("https://amzn.to/2Hv3AyB","link*")</f>
        <v>link*</v>
      </c>
      <c r="L117" s="79" t="str">
        <f>HYPERLINK("https://www.bhphotovideo.com/c/product/1461529-REG/tamron_a046_17_28mm_f_2_8_di_iii.html/BI/19619/KBID/12129/DFF/d10-v21-t1-x946694/SID/EZ","link*")</f>
        <v>link*</v>
      </c>
      <c r="M117" s="79" t="str">
        <f>HYPERLINK("https://amzn.to/2YkrkQB","link*")</f>
        <v>link*</v>
      </c>
      <c r="N117" s="79"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117" s="84">
        <v>19</v>
      </c>
      <c r="P117" s="70" t="s">
        <v>27</v>
      </c>
      <c r="Q117" s="74">
        <v>9</v>
      </c>
      <c r="R117" s="136" t="s">
        <v>77</v>
      </c>
      <c r="S117" s="74" t="s">
        <v>78</v>
      </c>
      <c r="T117" s="74" t="s">
        <v>216</v>
      </c>
    </row>
    <row r="118" spans="1:21" ht="13" hidden="1">
      <c r="A118" s="323" t="s">
        <v>165</v>
      </c>
      <c r="B118" s="60">
        <v>585</v>
      </c>
      <c r="C118" s="67">
        <v>50</v>
      </c>
      <c r="D118" s="64">
        <v>1.4</v>
      </c>
      <c r="E118" s="194">
        <v>74</v>
      </c>
      <c r="F118" s="211">
        <v>98</v>
      </c>
      <c r="G118" s="74" t="s">
        <v>36</v>
      </c>
      <c r="H118" s="72" t="s">
        <v>73</v>
      </c>
      <c r="I118" s="74">
        <v>0.15</v>
      </c>
      <c r="J118" s="76">
        <v>699</v>
      </c>
      <c r="K118" s="79" t="str">
        <f>HYPERLINK("https://amzn.to/2SY1Pyr","link*")</f>
        <v>link*</v>
      </c>
      <c r="L118" s="79" t="str">
        <f>HYPERLINK("https://www.bhphotovideo.com/c/product/1352862-REG/samyang_syio50af_e_50mm_f_1_4_auto_focus.html/BI/19619/KBID/12129/DFF/d10-v21-t1-x837927/SID/EZ","link*")</f>
        <v>link*</v>
      </c>
      <c r="M118" s="113" t="s">
        <v>51</v>
      </c>
      <c r="N118" s="79"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118" s="84">
        <v>45</v>
      </c>
      <c r="P118" s="70" t="s">
        <v>27</v>
      </c>
      <c r="Q118" s="74">
        <v>9</v>
      </c>
      <c r="R118" s="112">
        <v>43686</v>
      </c>
      <c r="S118" s="74" t="s">
        <v>38</v>
      </c>
      <c r="T118" s="125"/>
    </row>
    <row r="119" spans="1:21" ht="13" hidden="1">
      <c r="A119" s="196" t="str">
        <f>HYPERLINK("https://phillipreeve.net/blog/review-sony-fe-1-850/","Sony 50mm F1.8")</f>
        <v>Sony 50mm F1.8</v>
      </c>
      <c r="B119" s="60">
        <v>186</v>
      </c>
      <c r="C119" s="67">
        <v>50</v>
      </c>
      <c r="D119" s="64">
        <v>1.8</v>
      </c>
      <c r="E119" s="194">
        <v>69</v>
      </c>
      <c r="F119" s="211">
        <v>60</v>
      </c>
      <c r="G119" s="74" t="s">
        <v>36</v>
      </c>
      <c r="H119" s="72" t="s">
        <v>124</v>
      </c>
      <c r="I119" s="74">
        <v>0.14000000000000001</v>
      </c>
      <c r="J119" s="156">
        <v>249</v>
      </c>
      <c r="K119" s="79" t="str">
        <f>HYPERLINK("http://amzn.to/2v2F5Se","link*")</f>
        <v>link*</v>
      </c>
      <c r="L119" s="79" t="str">
        <f>HYPERLINK("https://www.bhphotovideo.com/c/product/1242613-REG/sony_sel50f18f_fe_50mm_f_1_8_lens.html/BI/19619/KBID/12129/kw/SO5018F/DFF/d10-v2-t1-xSO5018F","link*")</f>
        <v>link*</v>
      </c>
      <c r="M119" s="79" t="str">
        <f>HYPERLINK("http://amzn.to/2wyHB25","link*")</f>
        <v>link*</v>
      </c>
      <c r="N119"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119" s="84">
        <v>45</v>
      </c>
      <c r="P119" s="70" t="s">
        <v>27</v>
      </c>
      <c r="Q119" s="74">
        <v>7</v>
      </c>
      <c r="R119" s="112">
        <v>43591</v>
      </c>
      <c r="S119" s="74" t="s">
        <v>41</v>
      </c>
      <c r="T119" s="74" t="s">
        <v>231</v>
      </c>
    </row>
    <row r="120" spans="1:21" ht="13" hidden="1">
      <c r="A120" s="196" t="str">
        <f>HYPERLINK("https://phillipreeve.net/blog/review-zeiss-loxia-planar-250-t/","Zeiss Loxia 50mm F2")</f>
        <v>Zeiss Loxia 50mm F2</v>
      </c>
      <c r="B120" s="60">
        <v>320</v>
      </c>
      <c r="C120" s="67">
        <v>50</v>
      </c>
      <c r="D120" s="64">
        <v>2</v>
      </c>
      <c r="E120" s="194">
        <v>62</v>
      </c>
      <c r="F120" s="211">
        <v>60</v>
      </c>
      <c r="G120" s="328" t="s">
        <v>25</v>
      </c>
      <c r="H120" s="72" t="s">
        <v>131</v>
      </c>
      <c r="I120" s="74">
        <v>0.15</v>
      </c>
      <c r="J120" s="76">
        <v>949</v>
      </c>
      <c r="K120" s="79" t="str">
        <f>HYPERLINK("http://amzn.to/2faVsIu","link*")</f>
        <v>link*</v>
      </c>
      <c r="L120" s="79" t="str">
        <f>HYPERLINK("https://www.bhphotovideo.com/c/product/1080387-REG/zeiss_2103_748_loxia_50mm_f_2_planar.html/BI/19619/KBID/12129/kw/ZE502LFE/DFF/d10-v2-t1-xZE502LFE","link*")</f>
        <v>link*</v>
      </c>
      <c r="M120" s="79" t="str">
        <f>HYPERLINK("http://amzn.to/2wyJAU4","link*")</f>
        <v>link*</v>
      </c>
      <c r="N120" s="79"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O120" s="84">
        <v>45</v>
      </c>
      <c r="P120" s="70" t="s">
        <v>27</v>
      </c>
      <c r="Q120" s="74">
        <v>10</v>
      </c>
      <c r="R120" s="112">
        <v>43561</v>
      </c>
      <c r="S120" s="74" t="s">
        <v>87</v>
      </c>
      <c r="T120" s="125"/>
      <c r="U120" s="77" t="s">
        <v>166</v>
      </c>
    </row>
    <row r="121" spans="1:21" ht="13" hidden="1">
      <c r="A121" s="196" t="str">
        <f>HYPERLINK("https://phillipreeve.net/blog/rolling-review-sony-fe-2-850-macro/","Sony 50mm F/2.8 Macro")</f>
        <v>Sony 50mm F/2.8 Macro</v>
      </c>
      <c r="B121" s="60">
        <v>236</v>
      </c>
      <c r="C121" s="67">
        <v>50</v>
      </c>
      <c r="D121" s="64">
        <v>1.8</v>
      </c>
      <c r="E121" s="194">
        <v>72</v>
      </c>
      <c r="F121" s="211">
        <v>71</v>
      </c>
      <c r="G121" s="74" t="s">
        <v>36</v>
      </c>
      <c r="H121" s="72" t="s">
        <v>147</v>
      </c>
      <c r="I121" s="263">
        <v>1</v>
      </c>
      <c r="J121" s="184">
        <v>499</v>
      </c>
      <c r="K121" s="79" t="str">
        <f>HYPERLINK("http://amzn.to/2v2g0qz","link*")</f>
        <v>link*</v>
      </c>
      <c r="L121" s="79" t="str">
        <f>HYPERLINK("https://www.bhphotovideo.com/c/product/1277527-REG/sony_sel50m28_fe_50mm_f_2_8_macro.html/BI/19619/KBID/12129/kw/SO5028FF/DFF/d10-v2-t1-xSO5028FF","link*")</f>
        <v>link*</v>
      </c>
      <c r="M121" s="79" t="str">
        <f>HYPERLINK("http://amzn.to/2vbknRN","link*")</f>
        <v>link*</v>
      </c>
      <c r="N121" s="79"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O121" s="84">
        <v>16</v>
      </c>
      <c r="P121" s="70" t="s">
        <v>27</v>
      </c>
      <c r="Q121" s="74">
        <v>7</v>
      </c>
      <c r="R121" s="112">
        <v>43654</v>
      </c>
      <c r="S121" s="74" t="s">
        <v>41</v>
      </c>
      <c r="T121" s="74" t="s">
        <v>242</v>
      </c>
    </row>
    <row r="122" spans="1:21" ht="13" hidden="1">
      <c r="A122" s="196" t="str">
        <f>HYPERLINK("https://phillipreeve.net/blog/sony-fe-1-855-za-sonnar-t-review/","Sony ZA 55mm F1.8 Sonnar")</f>
        <v>Sony ZA 55mm F1.8 Sonnar</v>
      </c>
      <c r="B122" s="60">
        <v>281</v>
      </c>
      <c r="C122" s="67">
        <v>55</v>
      </c>
      <c r="D122" s="64">
        <v>1.8</v>
      </c>
      <c r="E122" s="194">
        <v>64</v>
      </c>
      <c r="F122" s="211">
        <v>71</v>
      </c>
      <c r="G122" s="74" t="s">
        <v>36</v>
      </c>
      <c r="H122" s="72" t="s">
        <v>124</v>
      </c>
      <c r="I122" s="74">
        <v>0.14000000000000001</v>
      </c>
      <c r="J122" s="76">
        <v>999</v>
      </c>
      <c r="K122" s="79" t="str">
        <f>HYPERLINK("https://amzn.to/2ywdgEk","link*")</f>
        <v>link*</v>
      </c>
      <c r="L122" s="79" t="str">
        <f>HYPERLINK("https://www.bhphotovideo.com/c/product/1008124-REG/sony_sel55f18z_sonnar_t_fe_55mm.html/BI/19619/KBID/12129/DFF/d10-v21-t1-x466841/SID/EZ","link*")</f>
        <v>link*</v>
      </c>
      <c r="M122" s="113" t="s">
        <v>51</v>
      </c>
      <c r="N122" s="79"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122" s="84">
        <v>50</v>
      </c>
      <c r="P122" s="70" t="s">
        <v>27</v>
      </c>
      <c r="Q122" s="74">
        <v>9</v>
      </c>
      <c r="R122" s="112">
        <v>43592</v>
      </c>
      <c r="S122" s="74" t="s">
        <v>41</v>
      </c>
      <c r="T122" s="74" t="s">
        <v>222</v>
      </c>
    </row>
    <row r="123" spans="1:21" ht="13" hidden="1">
      <c r="A123" s="196" t="str">
        <f>HYPERLINK("https://phillipreeve.net/blog/voigtlander-65-f2-apo-macro-review/","Voigtlander Macro 65mm F2 Apo Lanthar")</f>
        <v>Voigtlander Macro 65mm F2 Apo Lanthar</v>
      </c>
      <c r="B123" s="60">
        <v>635</v>
      </c>
      <c r="C123" s="67">
        <v>65</v>
      </c>
      <c r="D123" s="64">
        <v>2</v>
      </c>
      <c r="E123" s="194">
        <v>78</v>
      </c>
      <c r="F123" s="211">
        <v>91</v>
      </c>
      <c r="G123" s="328" t="s">
        <v>25</v>
      </c>
      <c r="H123" s="72" t="s">
        <v>73</v>
      </c>
      <c r="I123" s="320">
        <v>0.5</v>
      </c>
      <c r="J123" s="76">
        <v>999</v>
      </c>
      <c r="K123" s="79" t="str">
        <f>HYPERLINK("https://amzn.to/2LU48SI","link*")</f>
        <v>link*</v>
      </c>
      <c r="L123" s="79" t="str">
        <f>HYPERLINK("https://www.bhphotovideo.com/c/product/1350400-REG/voigtlander_macro_apo_lanthar_65mm_f2.html/BI/19619/KBID/12129/DFF/d10-v21-t1-x835677/SID/EZ","link*")</f>
        <v>link*</v>
      </c>
      <c r="M123" s="113" t="s">
        <v>51</v>
      </c>
      <c r="N123" s="79"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O123" s="84">
        <v>31</v>
      </c>
      <c r="P123" s="70" t="s">
        <v>27</v>
      </c>
      <c r="Q123" s="74">
        <v>10</v>
      </c>
      <c r="R123" s="112">
        <v>43687</v>
      </c>
      <c r="S123" s="74" t="s">
        <v>29</v>
      </c>
      <c r="T123" s="77" t="s">
        <v>243</v>
      </c>
    </row>
    <row r="124" spans="1:21" ht="13" hidden="1">
      <c r="A124" s="196" t="str">
        <f>HYPERLINK("https://phillipreeve.net/blog/review-zeiss-batis-18mm-2-8/","Zeiss Batis 2.8/18")</f>
        <v>Zeiss Batis 2.8/18</v>
      </c>
      <c r="B124" s="60">
        <v>330</v>
      </c>
      <c r="C124" s="67">
        <v>18</v>
      </c>
      <c r="D124" s="64">
        <v>2.8</v>
      </c>
      <c r="E124" s="65">
        <v>100</v>
      </c>
      <c r="F124" s="65">
        <v>80</v>
      </c>
      <c r="G124" s="70" t="s">
        <v>36</v>
      </c>
      <c r="H124" s="72" t="s">
        <v>80</v>
      </c>
      <c r="I124" s="74">
        <v>0.1</v>
      </c>
      <c r="J124" s="76">
        <v>1499</v>
      </c>
      <c r="K124" s="79" t="str">
        <f>HYPERLINK("https://amzn.to/2SRFBhL","link*")</f>
        <v>link*</v>
      </c>
      <c r="L124" s="79" t="str">
        <f>HYPERLINK("https://www.bhphotovideo.com/c/product/1243591-REG/zeiss_2136_691_batis_18mm_f_2_8_lens.html/BI/19619/KBID/12129/DFF/d10-v21-t1-x727488/SID/EZ","link*")</f>
        <v>link*</v>
      </c>
      <c r="M124" s="79" t="str">
        <f>HYPERLINK("https://amzn.to/334PqNT","link*")</f>
        <v>link*</v>
      </c>
      <c r="N124" s="7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124" s="84">
        <v>25</v>
      </c>
      <c r="P124" s="70" t="s">
        <v>27</v>
      </c>
      <c r="Q124" s="74">
        <v>9</v>
      </c>
      <c r="R124" s="136" t="s">
        <v>86</v>
      </c>
      <c r="S124" s="74" t="s">
        <v>87</v>
      </c>
      <c r="T124" s="125"/>
    </row>
    <row r="125" spans="1:21" ht="13" hidden="1">
      <c r="A125" s="323" t="s">
        <v>168</v>
      </c>
      <c r="B125" s="60">
        <v>1480</v>
      </c>
      <c r="C125" s="67">
        <v>70</v>
      </c>
      <c r="D125" s="64">
        <v>2.8</v>
      </c>
      <c r="E125" s="194">
        <v>88</v>
      </c>
      <c r="F125" s="211">
        <v>200</v>
      </c>
      <c r="G125" s="74" t="s">
        <v>36</v>
      </c>
      <c r="H125" s="72" t="s">
        <v>80</v>
      </c>
      <c r="I125" s="239">
        <v>0.25</v>
      </c>
      <c r="J125" s="76">
        <v>2599</v>
      </c>
      <c r="K125" s="79" t="str">
        <f>HYPERLINK("https://amzn.to/2KbaJGn","link*")</f>
        <v>link*</v>
      </c>
      <c r="L125" s="79" t="str">
        <f>HYPERLINK("https://www.bhphotovideo.com/c/product/1222776-REG/sony_sel70200gm_fe_70_200mm_f_2_8_gm.html/BI/19619/KBID/12129/DFF/d10-v21-t1-x746807/SID/EZ","link*")</f>
        <v>link*</v>
      </c>
      <c r="M125" s="113" t="s">
        <v>51</v>
      </c>
      <c r="N125"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125" s="84">
        <v>96</v>
      </c>
      <c r="P125" s="134" t="s">
        <v>66</v>
      </c>
      <c r="Q125" s="74">
        <v>11</v>
      </c>
      <c r="R125" s="115" t="s">
        <v>169</v>
      </c>
      <c r="S125" s="74" t="s">
        <v>41</v>
      </c>
      <c r="T125" s="74" t="s">
        <v>232</v>
      </c>
    </row>
    <row r="126" spans="1:21" ht="13" hidden="1">
      <c r="A126" s="323" t="s">
        <v>170</v>
      </c>
      <c r="B126" s="60">
        <v>854</v>
      </c>
      <c r="C126" s="67">
        <v>70</v>
      </c>
      <c r="D126" s="64" t="s">
        <v>171</v>
      </c>
      <c r="E126" s="194">
        <v>84</v>
      </c>
      <c r="F126" s="211">
        <v>144</v>
      </c>
      <c r="G126" s="74" t="s">
        <v>36</v>
      </c>
      <c r="H126" s="72" t="s">
        <v>64</v>
      </c>
      <c r="I126" s="201">
        <v>0.31</v>
      </c>
      <c r="J126" s="76">
        <v>1198</v>
      </c>
      <c r="K126" s="79" t="str">
        <f>HYPERLINK("https://amzn.to/2SVN1Ao","link*")</f>
        <v>link*</v>
      </c>
      <c r="L126" s="79" t="str">
        <f>HYPERLINK("https://www.bhphotovideo.com/c/product/1242614-REG/sony_sel70300g_fe_70_300mm_f_4_5_5_6_g.html/BI/19619/KBID/12129/DFF/d10-v21-t1-x722726/SID/EZ","link*")</f>
        <v>link*</v>
      </c>
      <c r="M126" s="113" t="s">
        <v>51</v>
      </c>
      <c r="N126"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126" s="84">
        <v>90</v>
      </c>
      <c r="P126" s="134" t="s">
        <v>66</v>
      </c>
      <c r="Q126" s="74">
        <v>9</v>
      </c>
      <c r="R126" s="343"/>
      <c r="S126" s="74" t="s">
        <v>41</v>
      </c>
      <c r="T126" s="74" t="s">
        <v>214</v>
      </c>
    </row>
    <row r="127" spans="1:21" ht="13" hidden="1">
      <c r="A127" s="196" t="str">
        <f>HYPERLINK("https://phillipreeve.net/blog/review-sony-fe-470-200-g-oss/https://phillipreeve.net/blog/review-sony-fe-470-200-g-oss/","Sony G 4/70-200 OSS")</f>
        <v>Sony G 4/70-200 OSS</v>
      </c>
      <c r="B127" s="60">
        <v>840</v>
      </c>
      <c r="C127" s="67">
        <v>70</v>
      </c>
      <c r="D127" s="64">
        <v>4</v>
      </c>
      <c r="E127" s="194">
        <v>80</v>
      </c>
      <c r="F127" s="211">
        <v>175</v>
      </c>
      <c r="G127" s="74" t="s">
        <v>36</v>
      </c>
      <c r="H127" s="72" t="s">
        <v>64</v>
      </c>
      <c r="I127" s="74">
        <v>0.18</v>
      </c>
      <c r="J127" s="76">
        <v>1498</v>
      </c>
      <c r="K127" s="79" t="str">
        <f>HYPERLINK("http://amzn.to/2fbeX3x","link*")</f>
        <v>link*</v>
      </c>
      <c r="L127" s="79" t="str">
        <f>HYPERLINK("https://www.bhphotovideo.com/c/product/1380865-REG/sony_fe_70_200mm_f_4_g.html/BI/19619/KBID/12129/kw/SO702004F/DFF/d10-v2-t1-xSO702004F","link*")</f>
        <v>link*</v>
      </c>
      <c r="M127" s="79" t="str">
        <f>HYPERLINK("http://amzn.to/2vbFQKj","link*")</f>
        <v>link*</v>
      </c>
      <c r="N127" s="79"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127" s="84">
        <v>100</v>
      </c>
      <c r="P127" s="134" t="s">
        <v>66</v>
      </c>
      <c r="Q127" s="74">
        <v>9</v>
      </c>
      <c r="R127" s="115" t="s">
        <v>173</v>
      </c>
      <c r="S127" s="74" t="s">
        <v>41</v>
      </c>
      <c r="T127" s="74" t="s">
        <v>228</v>
      </c>
    </row>
    <row r="128" spans="1:21" ht="13" hidden="1">
      <c r="A128" s="196" t="str">
        <f>HYPERLINK("https://phillipreeve.net/blog/review-sony-fe-85mm-1-4-gm/","Sony GM 1.4/85")</f>
        <v>Sony GM 1.4/85</v>
      </c>
      <c r="B128" s="60">
        <v>854</v>
      </c>
      <c r="C128" s="67">
        <v>85</v>
      </c>
      <c r="D128" s="64">
        <v>1.4</v>
      </c>
      <c r="E128" s="194">
        <v>84</v>
      </c>
      <c r="F128" s="211">
        <v>108</v>
      </c>
      <c r="G128" s="74" t="s">
        <v>36</v>
      </c>
      <c r="H128" s="72" t="s">
        <v>80</v>
      </c>
      <c r="I128" s="74">
        <v>0.12</v>
      </c>
      <c r="J128" s="76">
        <v>1799</v>
      </c>
      <c r="K128" s="79" t="str">
        <f>HYPERLINK("https://amzn.to/2SZeKAh","link*")</f>
        <v>link*</v>
      </c>
      <c r="L128" s="79" t="str">
        <f>HYPERLINK("https://www.bhphotovideo.com/c/product/1222775-REG/sony_sel85f14gm_fe_85mm_f_1_4_gm.html/BI/19619/KBID/12129/DFF/d10-v21-t1-x707644/SID/EZ","link*")</f>
        <v>link*</v>
      </c>
      <c r="M128" s="113" t="s">
        <v>51</v>
      </c>
      <c r="N128" s="7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128" s="84">
        <v>80</v>
      </c>
      <c r="P128" s="70" t="s">
        <v>27</v>
      </c>
      <c r="Q128" s="74">
        <v>11</v>
      </c>
      <c r="R128" s="112">
        <v>43688</v>
      </c>
      <c r="S128" s="74" t="s">
        <v>41</v>
      </c>
      <c r="T128" s="74" t="s">
        <v>228</v>
      </c>
    </row>
    <row r="129" spans="1:21" ht="13" hidden="1">
      <c r="A129" s="373" t="str">
        <f>HYPERLINK("https://phillipreeve.net/blog/review-voigtlander-12mm-5-6-aspherical-ultra-wide-heliar/","Voigtlander 12mm F5.6 Ultra Wide-Heliar Aspherical")</f>
        <v>Voigtlander 12mm F5.6 Ultra Wide-Heliar Aspherical</v>
      </c>
      <c r="B129" s="374">
        <v>350</v>
      </c>
      <c r="C129" s="360">
        <v>12</v>
      </c>
      <c r="D129" s="361">
        <v>5.6</v>
      </c>
      <c r="E129" s="375">
        <v>67</v>
      </c>
      <c r="F129" s="376">
        <v>68</v>
      </c>
      <c r="G129" s="377" t="s">
        <v>25</v>
      </c>
      <c r="H129" s="365" t="s">
        <v>26</v>
      </c>
      <c r="I129" s="370"/>
      <c r="J129" s="366">
        <v>749</v>
      </c>
      <c r="K129" s="370"/>
      <c r="L129" s="370"/>
      <c r="M129" s="370"/>
      <c r="N129" s="367"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O129" s="368">
        <v>30</v>
      </c>
      <c r="P129" s="364" t="s">
        <v>27</v>
      </c>
      <c r="Q129" s="365">
        <v>10</v>
      </c>
      <c r="R129" s="369" t="s">
        <v>43</v>
      </c>
      <c r="S129" s="370" t="s">
        <v>29</v>
      </c>
      <c r="T129" s="371">
        <v>42583</v>
      </c>
      <c r="U129" s="372" t="s">
        <v>46</v>
      </c>
    </row>
    <row r="130" spans="1:21" ht="13" hidden="1">
      <c r="A130" s="323" t="s">
        <v>176</v>
      </c>
      <c r="B130" s="60">
        <v>568</v>
      </c>
      <c r="C130" s="67">
        <v>85</v>
      </c>
      <c r="D130" s="64">
        <v>1.4</v>
      </c>
      <c r="E130" s="194">
        <v>88</v>
      </c>
      <c r="F130" s="211">
        <v>100</v>
      </c>
      <c r="G130" s="74" t="s">
        <v>36</v>
      </c>
      <c r="H130" s="72" t="s">
        <v>80</v>
      </c>
      <c r="I130" s="74">
        <v>0.11</v>
      </c>
      <c r="J130" s="156">
        <v>699</v>
      </c>
      <c r="K130" s="79" t="str">
        <f>HYPERLINK("https://amzn.to/2T0yJ1A","link*")</f>
        <v>link*</v>
      </c>
      <c r="L130" s="79" t="str">
        <f>HYPERLINK("https://www.bhphotovideo.com/c/product/1470654-REG/samyang_syio85af_e_af_85mm_f_1_4_lens.html/BI/19619/KBID/12129/DFF/d10-v21-t1-x955078/SID/EZ","link*")</f>
        <v>link*</v>
      </c>
      <c r="M130" s="113" t="s">
        <v>51</v>
      </c>
      <c r="N130"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130" s="84">
        <v>90</v>
      </c>
      <c r="P130" s="70" t="s">
        <v>27</v>
      </c>
      <c r="Q130" s="74">
        <v>9</v>
      </c>
      <c r="R130" s="112">
        <v>43688</v>
      </c>
      <c r="S130" s="74" t="s">
        <v>41</v>
      </c>
      <c r="T130" s="125"/>
    </row>
    <row r="131" spans="1:21" ht="13" hidden="1">
      <c r="A131" s="196" t="str">
        <f>HYPERLINK("https://phillipreeve.net/blog/review-sony-fe-85-mm-1-8/","Sony FE 85mm f/1.8")</f>
        <v>Sony FE 85mm f/1.8</v>
      </c>
      <c r="B131" s="60">
        <v>371</v>
      </c>
      <c r="C131" s="67">
        <v>85</v>
      </c>
      <c r="D131" s="64">
        <v>1.8</v>
      </c>
      <c r="E131" s="194">
        <v>77</v>
      </c>
      <c r="F131" s="211">
        <v>82</v>
      </c>
      <c r="G131" s="74" t="s">
        <v>36</v>
      </c>
      <c r="H131" s="72" t="s">
        <v>73</v>
      </c>
      <c r="I131" s="74">
        <v>0.13</v>
      </c>
      <c r="J131" s="156">
        <v>599</v>
      </c>
      <c r="K131" s="79" t="str">
        <f>HYPERLINK("https://amzn.to/2YB4RxU","link*")</f>
        <v>link*</v>
      </c>
      <c r="L131" s="79" t="str">
        <f t="shared" ref="L131:L132" si="2">HYPERLINK("https://www.bhphotovideo.com/c/product/1140833-REG/zeiss_2103_751_85mm_f_1_8_batis_short.html/BI/19619/KBID/12129/DFF/d10-v21-t1-x627139/SID/EZ","link*")</f>
        <v>link*</v>
      </c>
      <c r="M131" s="113" t="s">
        <v>51</v>
      </c>
      <c r="N131"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131" s="84">
        <v>80</v>
      </c>
      <c r="P131" s="70" t="s">
        <v>27</v>
      </c>
      <c r="Q131" s="74">
        <v>9</v>
      </c>
      <c r="R131" s="112">
        <v>43686</v>
      </c>
      <c r="S131" s="74" t="s">
        <v>41</v>
      </c>
      <c r="T131" s="74" t="s">
        <v>233</v>
      </c>
    </row>
    <row r="132" spans="1:21" ht="13" hidden="1">
      <c r="A132" s="196" t="str">
        <f>HYPERLINK("https://phillipreeve.net/blog/zeiss-batis-sonnar-t-85mm-f1-8-a-review/","Zeiss Batis 1.8/85")</f>
        <v>Zeiss Batis 1.8/85</v>
      </c>
      <c r="B132" s="60">
        <v>475</v>
      </c>
      <c r="C132" s="67">
        <v>85</v>
      </c>
      <c r="D132" s="64">
        <v>1.8</v>
      </c>
      <c r="E132" s="194">
        <v>92</v>
      </c>
      <c r="F132" s="211">
        <v>81</v>
      </c>
      <c r="G132" s="74" t="s">
        <v>36</v>
      </c>
      <c r="H132" s="72" t="s">
        <v>73</v>
      </c>
      <c r="I132" s="74">
        <v>0.13</v>
      </c>
      <c r="J132" s="76">
        <v>1199</v>
      </c>
      <c r="K132" s="79" t="str">
        <f>HYPERLINK("https://amzn.to/2T8oWqt","link*")</f>
        <v>link*</v>
      </c>
      <c r="L132" s="79" t="str">
        <f t="shared" si="2"/>
        <v>link*</v>
      </c>
      <c r="M132" s="113" t="s">
        <v>51</v>
      </c>
      <c r="N132"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132" s="84">
        <v>80</v>
      </c>
      <c r="P132" s="134" t="s">
        <v>66</v>
      </c>
      <c r="Q132" s="74">
        <v>9</v>
      </c>
      <c r="R132" s="112">
        <v>43688</v>
      </c>
      <c r="S132" s="74" t="s">
        <v>87</v>
      </c>
      <c r="T132" s="125"/>
    </row>
    <row r="133" spans="1:21" ht="13" hidden="1">
      <c r="A133" s="323" t="s">
        <v>197</v>
      </c>
      <c r="B133" s="60">
        <v>665</v>
      </c>
      <c r="C133" s="67">
        <v>85</v>
      </c>
      <c r="D133" s="64">
        <v>1.8</v>
      </c>
      <c r="E133" s="194">
        <v>79</v>
      </c>
      <c r="F133" s="211">
        <v>92</v>
      </c>
      <c r="G133" s="328" t="s">
        <v>25</v>
      </c>
      <c r="H133" s="72" t="s">
        <v>64</v>
      </c>
      <c r="I133" s="74">
        <v>0.13</v>
      </c>
      <c r="J133" s="76">
        <v>299</v>
      </c>
      <c r="K133" s="79" t="str">
        <f>HYPERLINK("https://amzn.to/2LVVOBV","link*")</f>
        <v>link*</v>
      </c>
      <c r="L133" s="79" t="str">
        <f>HYPERLINK("https://www.bhphotovideo.com/c/product/1469189-REG/viltrox_pfu_rbmh_85mm_f1_8_e_mount_85mm_f_1_8_for_sony.html/BI/19619/KBID/12129/DFF/d10-v21-t1-x954301/SID/EZ","link*")</f>
        <v>link*</v>
      </c>
      <c r="M133" s="113" t="s">
        <v>51</v>
      </c>
      <c r="N133" s="79"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O133" s="84">
        <v>80</v>
      </c>
      <c r="P133" s="70" t="s">
        <v>27</v>
      </c>
      <c r="Q133" s="74">
        <v>9</v>
      </c>
      <c r="R133" s="112">
        <v>43656</v>
      </c>
      <c r="S133" s="74" t="s">
        <v>106</v>
      </c>
      <c r="T133" s="125"/>
      <c r="U133" s="77" t="s">
        <v>200</v>
      </c>
    </row>
    <row r="134" spans="1:21" ht="13" hidden="1">
      <c r="A134" s="323" t="s">
        <v>177</v>
      </c>
      <c r="B134" s="60">
        <v>636</v>
      </c>
      <c r="C134" s="67">
        <v>85</v>
      </c>
      <c r="D134" s="64">
        <v>1.8</v>
      </c>
      <c r="E134" s="194">
        <v>79</v>
      </c>
      <c r="F134" s="211">
        <v>92</v>
      </c>
      <c r="G134" s="74" t="s">
        <v>36</v>
      </c>
      <c r="H134" s="72" t="s">
        <v>64</v>
      </c>
      <c r="I134" s="74">
        <v>0.13</v>
      </c>
      <c r="J134" s="76">
        <v>379</v>
      </c>
      <c r="K134" s="79" t="str">
        <f>HYPERLINK("https://amzn.to/2SZfd5v","link*")</f>
        <v>link*</v>
      </c>
      <c r="L134" s="79" t="str">
        <f>HYPERLINK("https://www.bhphotovideo.com/c/product/1470585-REG/viltrox_pfu_rbmh_85mm_f1_8_stm_e_mount_85mm_f_1_8_lens_for.html/BI/19619/KBID/12129/DFF/d10-v21-t1-x955239/SID/EZ","link*")</f>
        <v>link*</v>
      </c>
      <c r="M134" s="113" t="s">
        <v>51</v>
      </c>
      <c r="N134"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134" s="84">
        <v>80</v>
      </c>
      <c r="P134" s="70" t="s">
        <v>27</v>
      </c>
      <c r="Q134" s="74">
        <v>9</v>
      </c>
      <c r="R134" s="112">
        <v>43656</v>
      </c>
      <c r="S134" s="74" t="s">
        <v>106</v>
      </c>
      <c r="T134" s="125"/>
    </row>
    <row r="135" spans="1:21" ht="13" hidden="1">
      <c r="A135" s="196" t="str">
        <f>HYPERLINK("https://phillipreeve.net/blog/rolling-review-zeiss-loxia-85mm-2-4/","Zeiss Loxia 2.4/85")</f>
        <v>Zeiss Loxia 2.4/85</v>
      </c>
      <c r="B135" s="60">
        <v>594</v>
      </c>
      <c r="C135" s="67">
        <v>85</v>
      </c>
      <c r="D135" s="64">
        <v>2.4</v>
      </c>
      <c r="E135" s="194">
        <v>63</v>
      </c>
      <c r="F135" s="211">
        <v>95</v>
      </c>
      <c r="G135" s="328" t="s">
        <v>25</v>
      </c>
      <c r="H135" s="72" t="s">
        <v>131</v>
      </c>
      <c r="I135" s="74">
        <v>0.14000000000000001</v>
      </c>
      <c r="J135" s="76">
        <v>1399</v>
      </c>
      <c r="K135" s="79" t="str">
        <f>HYPERLINK("https://amzn.to/2SY4PLd","link*")</f>
        <v>link*</v>
      </c>
      <c r="L135" s="79" t="str">
        <f>HYPERLINK("https://www.bhphotovideo.com/c/product/1282150-REG/zeiss_2162_636_loxia_85mm_f_2_4_lens.html/BI/19619/KBID/12129/DFF/d10-v21-t1-x762761/SID/EZ","link*")</f>
        <v>link*</v>
      </c>
      <c r="M135" s="113" t="s">
        <v>51</v>
      </c>
      <c r="N135" s="79"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O135" s="84">
        <v>80</v>
      </c>
      <c r="P135" s="70" t="s">
        <v>27</v>
      </c>
      <c r="Q135" s="74">
        <v>10</v>
      </c>
      <c r="R135" s="112">
        <v>43653</v>
      </c>
      <c r="S135" s="74" t="s">
        <v>87</v>
      </c>
      <c r="T135" s="125"/>
    </row>
    <row r="136" spans="1:21" ht="13" hidden="1">
      <c r="A136" s="196" t="str">
        <f>HYPERLINK("https://phillipreeve.net/blog/review-sony-fe-90mm-f2-8-macro-oss-one-of-sonys-finest/","Sony 2.8/90 G OSS")</f>
        <v>Sony 2.8/90 G OSS</v>
      </c>
      <c r="B136" s="60">
        <v>602</v>
      </c>
      <c r="C136" s="67">
        <v>90</v>
      </c>
      <c r="D136" s="64">
        <v>2.8</v>
      </c>
      <c r="E136" s="194">
        <v>79</v>
      </c>
      <c r="F136" s="211">
        <v>131</v>
      </c>
      <c r="G136" s="74" t="s">
        <v>36</v>
      </c>
      <c r="H136" s="72" t="s">
        <v>101</v>
      </c>
      <c r="I136" s="263">
        <v>1</v>
      </c>
      <c r="J136" s="76">
        <v>1099</v>
      </c>
      <c r="K136" s="79" t="str">
        <f>HYPERLINK("http://amzn.to/2fbeX3x","link*")</f>
        <v>link*</v>
      </c>
      <c r="L136" s="79" t="str">
        <f>HYPERLINK("https://www.bhphotovideo.com/c/product/1380868-REG/sony_fe_90mm_f_2_8_macro.html/BI/19619/KBID/12129/kw/SO9028F/DFF/d10-v2-t1-xSO9028F","link*")</f>
        <v>link*</v>
      </c>
      <c r="M136" s="79" t="str">
        <f>HYPERLINK("http://amzn.to/2vvvHcw","link*")</f>
        <v>link*</v>
      </c>
      <c r="N136"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136" s="84">
        <v>28</v>
      </c>
      <c r="P136" s="134" t="s">
        <v>66</v>
      </c>
      <c r="Q136" s="74">
        <v>9</v>
      </c>
      <c r="R136" s="112">
        <v>43784</v>
      </c>
      <c r="S136" s="74" t="s">
        <v>41</v>
      </c>
      <c r="T136" s="74" t="s">
        <v>219</v>
      </c>
    </row>
    <row r="137" spans="1:21" ht="13" hidden="1">
      <c r="A137" s="196" t="str">
        <f>HYPERLINK("https://phillipreeve.net/blog/review-sony-fe-100-f-2-8-stf-gm-oss-lens/","Sony GM 2.8/100 STF OSS")</f>
        <v>Sony GM 2.8/100 STF OSS</v>
      </c>
      <c r="B137" s="60">
        <v>700</v>
      </c>
      <c r="C137" s="67">
        <v>100</v>
      </c>
      <c r="D137" s="64">
        <v>2.8</v>
      </c>
      <c r="E137" s="194">
        <v>85</v>
      </c>
      <c r="F137" s="211">
        <v>118</v>
      </c>
      <c r="G137" s="74" t="s">
        <v>36</v>
      </c>
      <c r="H137" s="72" t="s">
        <v>64</v>
      </c>
      <c r="I137" s="239">
        <v>0.25</v>
      </c>
      <c r="J137" s="76">
        <v>1499</v>
      </c>
      <c r="K137" s="79" t="str">
        <f>HYPERLINK("https://amzn.to/2YD8rn4","link*")</f>
        <v>link*</v>
      </c>
      <c r="L137" s="79" t="str">
        <f>HYPERLINK("https://www.bhphotovideo.com/c/product/1317561-REG/sony_sel100f28gm_fe_100mm_f_2_8_stf.html/BI/19619/KBID/12129/DFF/d10-v21-t1-x795192/SID/EZ","link*")</f>
        <v>link*</v>
      </c>
      <c r="M137" s="113" t="s">
        <v>51</v>
      </c>
      <c r="N137" s="7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137" s="84">
        <v>57</v>
      </c>
      <c r="P137" s="134" t="s">
        <v>66</v>
      </c>
      <c r="Q137" s="74">
        <v>11</v>
      </c>
      <c r="R137" s="112">
        <v>43752</v>
      </c>
      <c r="S137" s="74" t="s">
        <v>41</v>
      </c>
      <c r="T137" s="74" t="s">
        <v>233</v>
      </c>
      <c r="U137" s="77" t="s">
        <v>178</v>
      </c>
    </row>
    <row r="138" spans="1:21" ht="13" hidden="1">
      <c r="A138" s="196" t="str">
        <f>HYPERLINK("https://phillipreeve.net/blog/review-tokina-firin-100mm-f2-8-fe-macro/","Tokina Firin 2.8/100 Macro")</f>
        <v>Tokina Firin 2.8/100 Macro</v>
      </c>
      <c r="B138" s="60">
        <v>570</v>
      </c>
      <c r="C138" s="67">
        <v>100</v>
      </c>
      <c r="D138" s="64">
        <v>2.8</v>
      </c>
      <c r="E138" s="194">
        <v>74</v>
      </c>
      <c r="F138" s="216">
        <v>123</v>
      </c>
      <c r="G138" s="74" t="s">
        <v>36</v>
      </c>
      <c r="H138" s="72" t="s">
        <v>147</v>
      </c>
      <c r="I138" s="263">
        <v>1</v>
      </c>
      <c r="J138" s="184">
        <v>599</v>
      </c>
      <c r="K138" s="79" t="str">
        <f>HYPERLINK("http://amzn.to/2fbeX3x","link*")</f>
        <v>link*</v>
      </c>
      <c r="L138" s="79" t="str">
        <f>HYPERLINK("https://www.bhphotovideo.com/c/product/1473390-REG/tokina_frn_afm100fxse_firin_100mm_f_2_8_fe.html/BI/19619/KBID/12129/kw/TO100AF/DFF/d10-v2-t1-xTO100AF","link*")</f>
        <v>link*</v>
      </c>
      <c r="M138" s="79"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N138"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138" s="84">
        <v>30</v>
      </c>
      <c r="P138" s="70" t="s">
        <v>27</v>
      </c>
      <c r="Q138" s="74">
        <v>9</v>
      </c>
      <c r="R138" s="112">
        <v>43686</v>
      </c>
      <c r="S138" s="74" t="s">
        <v>103</v>
      </c>
      <c r="T138" s="74" t="s">
        <v>217</v>
      </c>
      <c r="U138" s="77" t="s">
        <v>48</v>
      </c>
    </row>
    <row r="139" spans="1:21" ht="13" hidden="1">
      <c r="A139" s="323" t="s">
        <v>179</v>
      </c>
      <c r="B139" s="60">
        <v>1395</v>
      </c>
      <c r="C139" s="67">
        <v>100</v>
      </c>
      <c r="D139" s="64" t="s">
        <v>171</v>
      </c>
      <c r="E139" s="194">
        <v>94</v>
      </c>
      <c r="F139" s="216">
        <v>205</v>
      </c>
      <c r="G139" s="74" t="s">
        <v>36</v>
      </c>
      <c r="H139" s="72" t="s">
        <v>80</v>
      </c>
      <c r="I139" s="239">
        <v>0.35</v>
      </c>
      <c r="J139" s="76">
        <v>2499</v>
      </c>
      <c r="K139" s="79" t="str">
        <f>HYPERLINK("https://amzn.to/2SZ0aZO","link*")</f>
        <v>link*</v>
      </c>
      <c r="L139" s="79" t="str">
        <f>HYPERLINK("https://www.bhphotovideo.com/c/product/1333230-REG/sony_sel100400gm_fe_100_400mm_f_4_5_5_6_gm.html/BI/19619/KBID/12129/DFF/d10-v21-t1-x817745/SID/EZ","link*")</f>
        <v>link*</v>
      </c>
      <c r="M139" s="113" t="s">
        <v>51</v>
      </c>
      <c r="N139" s="79"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139" s="84">
        <v>98</v>
      </c>
      <c r="P139" s="134" t="s">
        <v>66</v>
      </c>
      <c r="Q139" s="74">
        <v>11</v>
      </c>
      <c r="R139" s="115" t="s">
        <v>180</v>
      </c>
      <c r="S139" s="74" t="s">
        <v>41</v>
      </c>
      <c r="T139" s="74" t="s">
        <v>234</v>
      </c>
    </row>
    <row r="140" spans="1:21" ht="13" hidden="1">
      <c r="A140" s="323" t="s">
        <v>104</v>
      </c>
      <c r="B140" s="60">
        <v>775</v>
      </c>
      <c r="C140" s="67">
        <v>20</v>
      </c>
      <c r="D140" s="100">
        <v>1.8</v>
      </c>
      <c r="E140" s="65">
        <v>77</v>
      </c>
      <c r="F140" s="65">
        <v>102</v>
      </c>
      <c r="G140" s="328" t="s">
        <v>25</v>
      </c>
      <c r="H140" s="72" t="s">
        <v>68</v>
      </c>
      <c r="I140" s="74">
        <v>0.12</v>
      </c>
      <c r="J140" s="76">
        <v>486</v>
      </c>
      <c r="K140" s="79" t="str">
        <f>HYPERLINK("https://amzn.to/2LRRbJ5","link*")</f>
        <v>link*</v>
      </c>
      <c r="L140" s="79" t="str">
        <f>HYPERLINK("https://www.bhphotovideo.com/c/product/1469187-REG/viltrox_pfu_rbmh_20mm_f1_8_asph_e_mount_20mm_f_1_8_for_sony.html/BI/19619/KBID/12129/DFF/d10-v21-t1-x954299/SID/EZ","link*")</f>
        <v>link*</v>
      </c>
      <c r="M140" s="79" t="str">
        <f>HYPERLINK("https://amzn.to/2GL8iYV","link*")</f>
        <v>link*</v>
      </c>
      <c r="N140" s="79"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O140" s="84">
        <v>25</v>
      </c>
      <c r="P140" s="70" t="s">
        <v>27</v>
      </c>
      <c r="Q140" s="74">
        <v>14</v>
      </c>
      <c r="R140" s="112">
        <v>43720</v>
      </c>
      <c r="S140" s="74" t="s">
        <v>106</v>
      </c>
      <c r="T140" s="125"/>
    </row>
    <row r="141" spans="1:21" ht="13" hidden="1">
      <c r="A141" s="196" t="str">
        <f>HYPERLINK("https://phillipreeve.net/blog/voigtlander-110mm-f2-5-apo-review/","Voigtlander 110mm F2.5 APO Macro")</f>
        <v>Voigtlander 110mm F2.5 APO Macro</v>
      </c>
      <c r="B141" s="60">
        <v>771</v>
      </c>
      <c r="C141" s="67">
        <v>110</v>
      </c>
      <c r="D141" s="64">
        <v>2.5</v>
      </c>
      <c r="E141" s="194">
        <v>78</v>
      </c>
      <c r="F141" s="211">
        <v>100</v>
      </c>
      <c r="G141" s="328" t="s">
        <v>25</v>
      </c>
      <c r="H141" s="72" t="s">
        <v>71</v>
      </c>
      <c r="I141" s="263">
        <v>1</v>
      </c>
      <c r="J141" s="76">
        <v>1099</v>
      </c>
      <c r="K141" s="79" t="str">
        <f>HYPERLINK("https://amzn.to/2SXYsrm","link*")</f>
        <v>link*</v>
      </c>
      <c r="L141" s="79" t="str">
        <f>HYPERLINK("https://www.bhphotovideo.com/c/product/1418780-REG/voigtlander_ba349a_macro_apo_lanthar_110mm_f_2_5.html/BI/19619/KBID/12129/kw/VO11025/DFF/d10-v2-t1-xVO11025","link*")</f>
        <v>link*</v>
      </c>
      <c r="M141" s="113" t="s">
        <v>51</v>
      </c>
      <c r="N141" s="79"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O141" s="84">
        <v>35</v>
      </c>
      <c r="P141" s="70" t="s">
        <v>27</v>
      </c>
      <c r="Q141" s="74">
        <v>10</v>
      </c>
      <c r="R141" s="112">
        <v>43813</v>
      </c>
      <c r="S141" s="74" t="s">
        <v>29</v>
      </c>
      <c r="T141" s="74" t="s">
        <v>244</v>
      </c>
    </row>
    <row r="142" spans="1:21" ht="13" hidden="1">
      <c r="A142" s="196" t="str">
        <f>HYPERLINK("https://phillipreeve.net/blog/review-sony-fe-135mm-f1-8-gm/","Sony 1.8/135 GM")</f>
        <v>Sony 1.8/135 GM</v>
      </c>
      <c r="B142" s="60">
        <v>950</v>
      </c>
      <c r="C142" s="67">
        <v>135</v>
      </c>
      <c r="D142" s="64">
        <v>1.8</v>
      </c>
      <c r="E142" s="194">
        <v>90</v>
      </c>
      <c r="F142" s="211">
        <v>127</v>
      </c>
      <c r="G142" s="74" t="s">
        <v>36</v>
      </c>
      <c r="H142" s="236" t="s">
        <v>68</v>
      </c>
      <c r="I142" s="239">
        <v>0.25</v>
      </c>
      <c r="J142" s="76">
        <v>1899</v>
      </c>
      <c r="K142" s="79" t="str">
        <f>HYPERLINK("https://amzn.to/2WtonMJ","link*")</f>
        <v>link*</v>
      </c>
      <c r="L142" s="79" t="str">
        <f>HYPERLINK("https://www.bhphotovideo.com/c/product/1393495-REG/sigma_135mm_f_1_8_dg_hsm.html/BI/19619/KBID/12129/kw/SI13518SO/DFF/d10-v2-t1-xSI13518SO","link*")</f>
        <v>link*</v>
      </c>
      <c r="M142" s="79" t="str">
        <f>HYPERLINK("https://amzn.to/2Z9KKDE","link*")</f>
        <v>link*</v>
      </c>
      <c r="N142" s="7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142" s="84">
        <v>70</v>
      </c>
      <c r="P142" s="70" t="s">
        <v>27</v>
      </c>
      <c r="Q142" s="74">
        <v>11</v>
      </c>
      <c r="R142" s="112">
        <v>43751</v>
      </c>
      <c r="S142" s="74" t="s">
        <v>41</v>
      </c>
      <c r="T142" s="125"/>
    </row>
    <row r="143" spans="1:21" ht="13" hidden="1">
      <c r="A143" s="196" t="str">
        <f>HYPERLINK("https://phillipreeve.net/blog/tokina-firin-20mm-f2-fe-review-a-good-deal/","Tokina Firin 2/20")</f>
        <v>Tokina Firin 2/20</v>
      </c>
      <c r="B143" s="60">
        <v>492</v>
      </c>
      <c r="C143" s="67">
        <v>20</v>
      </c>
      <c r="D143" s="173">
        <v>2</v>
      </c>
      <c r="E143" s="187">
        <v>69</v>
      </c>
      <c r="F143" s="329">
        <v>82</v>
      </c>
      <c r="G143" s="325" t="s">
        <v>25</v>
      </c>
      <c r="H143" s="72" t="s">
        <v>101</v>
      </c>
      <c r="I143" s="74">
        <v>0.1</v>
      </c>
      <c r="J143" s="184">
        <v>799</v>
      </c>
      <c r="K143" s="79" t="str">
        <f>HYPERLINK("http://amzn.to/2vlG2Yq","link*")</f>
        <v>link*</v>
      </c>
      <c r="L143" s="79" t="str">
        <f>HYPERLINK("https://www.bhphotovideo.com/c/product/1281299-REG/tokina_firin_20mm_f_2_fe.html/BI/19619/KBID/12129/kw/TO202E/DFF/d10-v2-t1-xTO202E","link*")</f>
        <v>link*</v>
      </c>
      <c r="M143" s="79" t="str">
        <f>HYPERLINK("http://amzn.to/2vvtDkM","link*")</f>
        <v>link*</v>
      </c>
      <c r="N143" s="79"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c r="O143" s="84">
        <v>30</v>
      </c>
      <c r="P143" s="70" t="s">
        <v>27</v>
      </c>
      <c r="Q143" s="74">
        <v>9</v>
      </c>
      <c r="R143" s="136" t="s">
        <v>77</v>
      </c>
      <c r="S143" s="74" t="s">
        <v>103</v>
      </c>
      <c r="T143" s="125"/>
    </row>
    <row r="144" spans="1:21" ht="13" hidden="1">
      <c r="A144" s="196" t="str">
        <f>HYPERLINK("https://phillipreeve.net/blog/zeiss-batis-apo-sonnar-t-135mm-f2-8/","Zeiss 2.8/135 APO")</f>
        <v>Zeiss 2.8/135 APO</v>
      </c>
      <c r="B144" s="60">
        <v>614</v>
      </c>
      <c r="C144" s="67">
        <v>135</v>
      </c>
      <c r="D144" s="64">
        <v>2.8</v>
      </c>
      <c r="E144" s="194">
        <v>99</v>
      </c>
      <c r="F144" s="211">
        <v>120</v>
      </c>
      <c r="G144" s="74" t="s">
        <v>36</v>
      </c>
      <c r="H144" s="72" t="s">
        <v>73</v>
      </c>
      <c r="I144" s="74">
        <v>0.19</v>
      </c>
      <c r="J144" s="76">
        <v>1699</v>
      </c>
      <c r="K144" s="79" t="str">
        <f>HYPERLINK("https://amzn.to/319GJA4","link*")</f>
        <v>link*</v>
      </c>
      <c r="L144" s="79" t="str">
        <f>HYPERLINK("https://www.bhphotovideo.com/c/product/1330083-REG/zeiss_2136_695_batis_135mm_f_2_8_lens.html/BI/19619/KBID/12129/DFF/d10-v21-t1-x814884/SID/EZ","link*")</f>
        <v>link*</v>
      </c>
      <c r="M144" s="113" t="s">
        <v>51</v>
      </c>
      <c r="N144" s="79"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144" s="84">
        <v>87</v>
      </c>
      <c r="P144" s="134" t="s">
        <v>66</v>
      </c>
      <c r="Q144" s="74">
        <v>9</v>
      </c>
      <c r="R144" s="112">
        <v>43783</v>
      </c>
      <c r="S144" s="74" t="s">
        <v>87</v>
      </c>
      <c r="T144" s="125"/>
    </row>
    <row r="145" spans="1:21" ht="13" hidden="1">
      <c r="A145" s="337" t="s">
        <v>186</v>
      </c>
      <c r="B145" s="60">
        <v>2215</v>
      </c>
      <c r="C145" s="67">
        <v>200</v>
      </c>
      <c r="D145" s="64" t="s">
        <v>187</v>
      </c>
      <c r="E145" s="194">
        <v>112</v>
      </c>
      <c r="F145" s="211">
        <v>318</v>
      </c>
      <c r="G145" s="74" t="s">
        <v>36</v>
      </c>
      <c r="H145" s="244" t="s">
        <v>152</v>
      </c>
      <c r="I145" s="320">
        <v>0.66</v>
      </c>
      <c r="J145" s="76">
        <v>1999</v>
      </c>
      <c r="K145" s="113"/>
      <c r="L145" s="79" t="str">
        <f>HYPERLINK("https://www.bhphotovideo.com/c/product/1485540-REG/sony_sel200600g_fe_200_600mm_f_5_6_6_3_g.html/BI/19619/KBID/12129/DFF/d10-v21-t1-x968882/SID/EZ","link*")</f>
        <v>link*</v>
      </c>
      <c r="M145" s="113" t="s">
        <v>51</v>
      </c>
      <c r="N145" s="79"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O145" s="84">
        <v>240</v>
      </c>
      <c r="P145" s="134" t="s">
        <v>66</v>
      </c>
      <c r="Q145" s="74">
        <v>11</v>
      </c>
      <c r="R145" s="115" t="s">
        <v>188</v>
      </c>
      <c r="S145" s="74" t="s">
        <v>41</v>
      </c>
      <c r="T145" s="74" t="s">
        <v>216</v>
      </c>
    </row>
    <row r="146" spans="1:21" ht="13" hidden="1">
      <c r="A146" s="323" t="s">
        <v>189</v>
      </c>
      <c r="B146" s="60">
        <v>2895</v>
      </c>
      <c r="C146" s="67">
        <v>400</v>
      </c>
      <c r="D146" s="64">
        <v>2.8</v>
      </c>
      <c r="E146" s="194">
        <v>158</v>
      </c>
      <c r="F146" s="211">
        <v>359</v>
      </c>
      <c r="G146" s="74" t="s">
        <v>36</v>
      </c>
      <c r="H146" s="72" t="s">
        <v>190</v>
      </c>
      <c r="I146" s="320">
        <v>0.52</v>
      </c>
      <c r="J146" s="76">
        <v>11999</v>
      </c>
      <c r="K146" s="113"/>
      <c r="L146" s="79" t="str">
        <f>HYPERLINK("https://www.bhphotovideo.com/c/product/1369634-REG/sony_fe_400mm_f_2_8_gm.html/BI/19619/KBID/12129/DFF/d10-v21-t1-x905722/SID/EZ","link*")</f>
        <v>link*</v>
      </c>
      <c r="M146" s="113" t="s">
        <v>51</v>
      </c>
      <c r="N146" s="79"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O146" s="84">
        <v>270</v>
      </c>
      <c r="P146" s="134" t="s">
        <v>66</v>
      </c>
      <c r="Q146" s="74">
        <v>11</v>
      </c>
      <c r="R146" s="115" t="s">
        <v>191</v>
      </c>
      <c r="S146" s="74" t="s">
        <v>41</v>
      </c>
      <c r="T146" s="74" t="s">
        <v>213</v>
      </c>
    </row>
    <row r="147" spans="1:21" ht="13" hidden="1">
      <c r="A147" s="401" t="s">
        <v>192</v>
      </c>
      <c r="B147" s="282">
        <v>3040</v>
      </c>
      <c r="C147" s="402">
        <v>600</v>
      </c>
      <c r="D147" s="284">
        <v>4</v>
      </c>
      <c r="E147" s="194">
        <v>164</v>
      </c>
      <c r="F147" s="211">
        <v>449</v>
      </c>
      <c r="G147" s="285" t="s">
        <v>36</v>
      </c>
      <c r="H147" s="286" t="s">
        <v>26</v>
      </c>
      <c r="I147" s="285">
        <v>0.14000000000000001</v>
      </c>
      <c r="J147" s="203" t="s">
        <v>193</v>
      </c>
      <c r="K147" s="113"/>
      <c r="L147" s="79" t="str">
        <f>HYPERLINK("https://www.bhphotovideo.com/c/product/1485539-REG/sony_sel600f40gm_fe_600mm_f_4_gm.html/BI/19619/KBID/12129/DFF/d10-v21-t1-x968881/SID/EZ","link*")</f>
        <v>link*</v>
      </c>
      <c r="M147" s="113" t="s">
        <v>51</v>
      </c>
      <c r="N147" s="7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147" s="287">
        <v>451</v>
      </c>
      <c r="P147" s="134" t="s">
        <v>66</v>
      </c>
      <c r="Q147" s="285">
        <v>11</v>
      </c>
      <c r="R147" s="288" t="s">
        <v>195</v>
      </c>
      <c r="S147" s="285" t="s">
        <v>41</v>
      </c>
      <c r="T147" s="285" t="s">
        <v>235</v>
      </c>
    </row>
    <row r="148" spans="1:21" ht="13" hidden="1">
      <c r="A148" s="323" t="s">
        <v>97</v>
      </c>
      <c r="B148" s="60">
        <v>464</v>
      </c>
      <c r="C148" s="67">
        <v>20</v>
      </c>
      <c r="D148" s="173">
        <v>2</v>
      </c>
      <c r="E148" s="175">
        <v>73</v>
      </c>
      <c r="F148" s="216">
        <v>82</v>
      </c>
      <c r="G148" s="70" t="s">
        <v>36</v>
      </c>
      <c r="H148" s="72" t="s">
        <v>101</v>
      </c>
      <c r="I148" s="74">
        <v>0.1</v>
      </c>
      <c r="J148" s="76">
        <v>949</v>
      </c>
      <c r="K148" s="79" t="str">
        <f>HYPERLINK("https://amzn.to/2GDurZb","link*")</f>
        <v>link*</v>
      </c>
      <c r="L148" s="79" t="str">
        <f>HYPERLINK("https://www.bhphotovideo.com/c/product/1393327-REG/tokina_firin_20mm_f_2_fe.html/BI/19619/KBID/12129/DFF/d10-v21-t1-x880327/SID/EZ","link*")</f>
        <v>link*</v>
      </c>
      <c r="M148" s="79" t="str">
        <f>HYPERLINK("https://amzn.to/2GJYCxw","link*")</f>
        <v>link*</v>
      </c>
      <c r="N148" s="79"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148" s="84">
        <v>30</v>
      </c>
      <c r="P148" s="70" t="s">
        <v>27</v>
      </c>
      <c r="Q148" s="74">
        <v>9</v>
      </c>
      <c r="R148" s="136" t="s">
        <v>77</v>
      </c>
      <c r="S148" s="74" t="s">
        <v>103</v>
      </c>
      <c r="T148" s="125"/>
    </row>
    <row r="149" spans="1:21" ht="13" hidden="1">
      <c r="A149" s="327" t="str">
        <f>HYPERLINK("https://phillipreeve.net/blog/review_voigtlander_21mm_f14_e/","Voigtlander 21mm F1.4 Nokton")</f>
        <v>Voigtlander 21mm F1.4 Nokton</v>
      </c>
      <c r="B149" s="60">
        <v>540</v>
      </c>
      <c r="C149" s="67">
        <v>21</v>
      </c>
      <c r="D149" s="192">
        <v>1.4</v>
      </c>
      <c r="E149" s="194">
        <v>70</v>
      </c>
      <c r="F149" s="211">
        <v>80</v>
      </c>
      <c r="G149" s="325" t="s">
        <v>25</v>
      </c>
      <c r="H149" s="72" t="s">
        <v>101</v>
      </c>
      <c r="I149" s="74"/>
      <c r="J149" s="76">
        <v>1199</v>
      </c>
      <c r="K149" s="79" t="str">
        <f>HYPERLINK("https://amzn.to/2K7gHrC","link*")</f>
        <v>link*</v>
      </c>
      <c r="L149" s="79" t="str">
        <f>HYPERLINK("https://www.bhphotovideo.com/c/product/1480269-REG/voigtlander_ba352a_nokton_21mm_f_1_4_aspherical.html/BI/19619/KBID/12129/DFF/d10-v21-t1-x963269/SID/EZ","link*")</f>
        <v>link*</v>
      </c>
      <c r="M149" s="113"/>
      <c r="N149" s="79"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c r="O149" s="84">
        <v>25</v>
      </c>
      <c r="P149" s="70" t="s">
        <v>27</v>
      </c>
      <c r="Q149" s="74">
        <v>12</v>
      </c>
      <c r="R149" s="136" t="s">
        <v>77</v>
      </c>
      <c r="S149" s="74" t="s">
        <v>29</v>
      </c>
      <c r="T149" s="74" t="s">
        <v>217</v>
      </c>
    </row>
    <row r="150" spans="1:21" ht="13" hidden="1">
      <c r="A150" s="196" t="str">
        <f>HYPERLINK("https://phillipreeve.net/blog/rolling-review-zeiss-loxia-distagon-2-821mm-t/https://phillipreeve.net/blog/rolling-review-zeiss-loxia-distagon-2-821mm-t/","Zeiss Loxia 2.8/21 Distagon T*")</f>
        <v>Zeiss Loxia 2.8/21 Distagon T*</v>
      </c>
      <c r="B150" s="60">
        <v>394</v>
      </c>
      <c r="C150" s="67">
        <v>21</v>
      </c>
      <c r="D150" s="64">
        <v>2.8</v>
      </c>
      <c r="E150" s="194">
        <v>62</v>
      </c>
      <c r="F150" s="211">
        <v>72</v>
      </c>
      <c r="G150" s="325" t="s">
        <v>25</v>
      </c>
      <c r="H150" s="72" t="s">
        <v>131</v>
      </c>
      <c r="I150" s="74">
        <v>0.13</v>
      </c>
      <c r="J150" s="76">
        <v>1499</v>
      </c>
      <c r="K150" s="79" t="str">
        <f>HYPERLINK("https://amzn.to/2yspzBm","link*")</f>
        <v>link*</v>
      </c>
      <c r="L150" s="79" t="str">
        <f>HYPERLINK("https://www.bhphotovideo.com/c/product/1189220-REG/zeiss_2131_999_loxia_21mm_f_2_8_lens.html/BI/19619/KBID/12129/DFF/d10-v21-t1-x677077/SID/EZ","link*")</f>
        <v>link*</v>
      </c>
      <c r="M150" s="79" t="str">
        <f>HYPERLINK("https://amzn.to/2GHSOoA","link*")</f>
        <v>link*</v>
      </c>
      <c r="N150" s="79"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c r="O150" s="84">
        <v>25</v>
      </c>
      <c r="P150" s="70" t="s">
        <v>27</v>
      </c>
      <c r="Q150" s="74">
        <v>10</v>
      </c>
      <c r="R150" s="136"/>
      <c r="S150" s="74" t="s">
        <v>87</v>
      </c>
      <c r="T150" s="125"/>
    </row>
    <row r="151" spans="1:21" ht="13" hidden="1">
      <c r="A151" s="196" t="str">
        <f>HYPERLINK("https://phillipreeve.net/blog/voigtlander-21mm-f35-review/","Voigtlander 21mm F3.5 Color-Skopar")</f>
        <v>Voigtlander 21mm F3.5 Color-Skopar</v>
      </c>
      <c r="B151" s="60">
        <v>230</v>
      </c>
      <c r="C151" s="67">
        <v>21</v>
      </c>
      <c r="D151" s="64">
        <v>3.5</v>
      </c>
      <c r="E151" s="194">
        <v>63</v>
      </c>
      <c r="F151" s="216">
        <v>40</v>
      </c>
      <c r="G151" s="325" t="s">
        <v>25</v>
      </c>
      <c r="H151" s="72" t="s">
        <v>131</v>
      </c>
      <c r="I151" s="125"/>
      <c r="J151" s="76">
        <v>699</v>
      </c>
      <c r="K151" s="79" t="str">
        <f>HYPERLINK("https://amzn.to/2JCie75","link*")</f>
        <v>link*</v>
      </c>
      <c r="L151" s="79" t="str">
        <f>HYPERLINK("https://www.bhphotovideo.com/c/product/1437613-REG/voigtlander_color_skopar_21mm_f_3_5_aspherical.html/BI/19619/KBID/12129/kw/VO2135E/DFF/d10-v2-t1-xVO2135E","link*")</f>
        <v>link*</v>
      </c>
      <c r="M151" s="79" t="str">
        <f>HYPERLINK("https://amzn.to/2ZoERan","link*")</f>
        <v>link*</v>
      </c>
      <c r="N151" s="79"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O151" s="84">
        <v>20</v>
      </c>
      <c r="P151" s="70" t="s">
        <v>27</v>
      </c>
      <c r="Q151" s="74">
        <v>10</v>
      </c>
      <c r="R151" s="136" t="s">
        <v>91</v>
      </c>
      <c r="S151" s="74" t="s">
        <v>29</v>
      </c>
      <c r="T151" s="74" t="s">
        <v>218</v>
      </c>
    </row>
    <row r="152" spans="1:21" ht="13" hidden="1">
      <c r="A152" s="196" t="str">
        <f>HYPERLINK("https://phillipreeve.net/blog/review-sony-fe-24mm-1-4-gm/","Sony GM 1.4/24")</f>
        <v>Sony GM 1.4/24</v>
      </c>
      <c r="B152" s="60">
        <v>445</v>
      </c>
      <c r="C152" s="67">
        <v>24</v>
      </c>
      <c r="D152" s="192">
        <v>1.4</v>
      </c>
      <c r="E152" s="194">
        <v>75</v>
      </c>
      <c r="F152" s="211">
        <v>92</v>
      </c>
      <c r="G152" s="70" t="s">
        <v>36</v>
      </c>
      <c r="H152" s="72" t="s">
        <v>73</v>
      </c>
      <c r="I152" s="74">
        <v>0.17</v>
      </c>
      <c r="J152" s="76">
        <v>1399</v>
      </c>
      <c r="K152" s="79" t="str">
        <f>HYPERLINK("https://amzn.to/2ywcbw1","link*")</f>
        <v>link*</v>
      </c>
      <c r="L152" s="79" t="str">
        <f>HYPERLINK("https://www.bhphotovideo.com/c/product/1435887-REG/sony_fe_24mm_f_1_4_gm.html/BI/19619/KBID/12129/DFF/d10-v21-t1-x915647/SID/EZ","link*")</f>
        <v>link*</v>
      </c>
      <c r="M152" s="79" t="str">
        <f>HYPERLINK("https://amzn.to/2L2tV9y","link*")</f>
        <v>link*</v>
      </c>
      <c r="N152" s="79" t="str">
        <f>HYPERLINK("https://amzn.to/338yg28","link*")</f>
        <v>link*</v>
      </c>
      <c r="O152" s="84">
        <v>25</v>
      </c>
      <c r="P152" s="70" t="s">
        <v>27</v>
      </c>
      <c r="Q152" s="74">
        <v>11</v>
      </c>
      <c r="R152" s="136" t="s">
        <v>28</v>
      </c>
      <c r="S152" s="74" t="s">
        <v>41</v>
      </c>
      <c r="T152" s="74" t="s">
        <v>218</v>
      </c>
    </row>
    <row r="153" spans="1:21" ht="13">
      <c r="A153" s="358" t="s">
        <v>45</v>
      </c>
      <c r="B153" s="383">
        <v>1170</v>
      </c>
      <c r="C153" s="384">
        <v>14</v>
      </c>
      <c r="D153" s="385">
        <v>1.8</v>
      </c>
      <c r="E153" s="386">
        <v>95</v>
      </c>
      <c r="F153" s="387">
        <v>126</v>
      </c>
      <c r="G153" s="370" t="s">
        <v>36</v>
      </c>
      <c r="H153" s="365" t="s">
        <v>26</v>
      </c>
      <c r="I153" s="365">
        <v>0.1</v>
      </c>
      <c r="J153" s="366">
        <v>1599</v>
      </c>
      <c r="K153" s="367" t="str">
        <f>HYPERLINK("https://amzn.to/2SOWTvV","link*")</f>
        <v>link*</v>
      </c>
      <c r="L153" s="367" t="str">
        <f>HYPERLINK("https://www.bhphotovideo.com/c/product/1393489-REG/sigma_14mm_f_1_8_dg_hsm.html/BI/19619/KBID/12129/DFF/d10-v21-t1-x881154/SID/EZ","link*")</f>
        <v>link*</v>
      </c>
      <c r="M153" s="367" t="str">
        <f>HYPERLINK("https://amzn.to/2ZDl4QJ","link*")</f>
        <v>link*</v>
      </c>
      <c r="N153" s="367"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O153" s="368">
        <v>27</v>
      </c>
      <c r="P153" s="364" t="s">
        <v>27</v>
      </c>
      <c r="Q153" s="365">
        <v>9</v>
      </c>
      <c r="R153" s="388">
        <v>43785</v>
      </c>
      <c r="S153" s="370" t="s">
        <v>47</v>
      </c>
      <c r="T153" s="371">
        <v>43221</v>
      </c>
      <c r="U153" s="372" t="s">
        <v>48</v>
      </c>
    </row>
    <row r="154" spans="1:21" ht="13" hidden="1">
      <c r="A154" s="196" t="str">
        <f>HYPERLINK("https://phillipreeve.net/blog/review-samyang-af-2-4-28-fe-at-least-its-small/","Samyang AF 24mm F/2.8")</f>
        <v>Samyang AF 24mm F/2.8</v>
      </c>
      <c r="B154" s="60">
        <v>93</v>
      </c>
      <c r="C154" s="67">
        <v>24</v>
      </c>
      <c r="D154" s="64">
        <v>2.8</v>
      </c>
      <c r="E154" s="194">
        <v>61</v>
      </c>
      <c r="F154" s="216">
        <v>37</v>
      </c>
      <c r="G154" s="70" t="s">
        <v>36</v>
      </c>
      <c r="H154" s="72" t="s">
        <v>124</v>
      </c>
      <c r="I154" s="74">
        <v>0.15</v>
      </c>
      <c r="J154" s="184">
        <v>279</v>
      </c>
      <c r="K154" s="79" t="str">
        <f>HYPERLINK("https://amzn.to/2NEHZ7c","link*")</f>
        <v>link*</v>
      </c>
      <c r="L154" s="79" t="str">
        <f>HYPERLINK("https://www.bhphotovideo.com/c/product/1413350-REG/samyang_syio24af_e_af_24mm_f_2_8_fe.html/BI/19619/KBID/12129/kw/SASYIO24AFE/DFF/d10-v2-t1-xSASYIO24AFE","link*")</f>
        <v>link*</v>
      </c>
      <c r="M154" s="79" t="str">
        <f>HYPERLINK("https://amzn.to/2Onv1QE","link*")</f>
        <v>link*</v>
      </c>
      <c r="N154"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154" s="84">
        <v>20</v>
      </c>
      <c r="P154" s="70" t="s">
        <v>27</v>
      </c>
      <c r="Q154" s="74">
        <v>9</v>
      </c>
      <c r="R154" s="136" t="s">
        <v>127</v>
      </c>
      <c r="S154" s="74" t="s">
        <v>38</v>
      </c>
      <c r="T154" s="125"/>
    </row>
    <row r="155" spans="1:21" ht="13" hidden="1">
      <c r="A155" s="196" t="str">
        <f>HYPERLINK("https://phillipreeve.net/blog/review-sony-fe-2-824-70mm-gm/","Sony GM 2.8/24-70")</f>
        <v>Sony GM 2.8/24-70</v>
      </c>
      <c r="B155" s="60">
        <v>886</v>
      </c>
      <c r="C155" s="67">
        <v>24</v>
      </c>
      <c r="D155" s="64">
        <v>2.8</v>
      </c>
      <c r="E155" s="194">
        <v>88</v>
      </c>
      <c r="F155" s="216">
        <v>136</v>
      </c>
      <c r="G155" s="70" t="s">
        <v>36</v>
      </c>
      <c r="H155" s="72" t="s">
        <v>68</v>
      </c>
      <c r="I155" s="201">
        <v>0.25</v>
      </c>
      <c r="J155" s="76">
        <v>2199</v>
      </c>
      <c r="K155" s="79" t="str">
        <f>HYPERLINK("https://amzn.to/2STHavK","link*")</f>
        <v>link*</v>
      </c>
      <c r="L155" s="79" t="str">
        <f>HYPERLINK("https://www.bhphotovideo.com/c/search?Ntt=gm%2024-70&amp;N=0&amp;InitialSearch=yes&amp;sts=ma&amp;Top+Nav-Search=&amp;BI=19619&amp;KBID=12129&amp;KWID=EZ","link*")</f>
        <v>link*</v>
      </c>
      <c r="M155" s="79" t="str">
        <f>HYPERLINK("https://amzn.to/2ZwoyU7","link*")</f>
        <v>link*</v>
      </c>
      <c r="N155"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155" s="84">
        <v>38</v>
      </c>
      <c r="P155" s="70" t="s">
        <v>27</v>
      </c>
      <c r="Q155" s="74">
        <v>11</v>
      </c>
      <c r="R155" s="136" t="s">
        <v>54</v>
      </c>
      <c r="S155" s="74" t="s">
        <v>41</v>
      </c>
      <c r="T155" s="74" t="s">
        <v>214</v>
      </c>
    </row>
    <row r="156" spans="1:21" ht="13" hidden="1">
      <c r="A156" s="323" t="s">
        <v>129</v>
      </c>
      <c r="B156" s="60">
        <v>780</v>
      </c>
      <c r="C156" s="67">
        <v>24</v>
      </c>
      <c r="D156" s="64" t="s">
        <v>130</v>
      </c>
      <c r="E156" s="194">
        <v>80</v>
      </c>
      <c r="F156" s="216">
        <v>119</v>
      </c>
      <c r="G156" s="70" t="s">
        <v>36</v>
      </c>
      <c r="H156" s="72" t="s">
        <v>64</v>
      </c>
      <c r="I156" s="201">
        <v>0.27</v>
      </c>
      <c r="J156" s="76">
        <v>998</v>
      </c>
      <c r="K156" s="79" t="str">
        <f>HYPERLINK("http://amzn.to/2fbX5FU","link*")</f>
        <v>link*</v>
      </c>
      <c r="L156" s="79" t="str">
        <f>HYPERLINK("https://www.bhphotovideo.com/c/search?Ntt=sony%2024-240&amp;N=0&amp;InitialSearch=yes&amp;sts=ma&amp;Top+Nav-Search=&amp;BI=19619&amp;KBID=12129&amp;KWID=EZ","link*")</f>
        <v>link*</v>
      </c>
      <c r="M156" s="79" t="str">
        <f>HYPERLINK("http://amzn.to/2wyrL7A","link*")</f>
        <v>link*</v>
      </c>
      <c r="N156"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156" s="84">
        <v>50</v>
      </c>
      <c r="P156" s="134" t="s">
        <v>66</v>
      </c>
      <c r="Q156" s="74">
        <v>7</v>
      </c>
      <c r="R156" s="136" t="s">
        <v>133</v>
      </c>
      <c r="S156" s="74" t="s">
        <v>41</v>
      </c>
      <c r="T156" s="74" t="s">
        <v>219</v>
      </c>
    </row>
    <row r="157" spans="1:21" ht="13" hidden="1">
      <c r="A157" s="323" t="s">
        <v>134</v>
      </c>
      <c r="B157" s="60">
        <v>663</v>
      </c>
      <c r="C157" s="67">
        <v>24</v>
      </c>
      <c r="D157" s="64">
        <v>4</v>
      </c>
      <c r="E157" s="194">
        <v>83</v>
      </c>
      <c r="F157" s="211">
        <v>113</v>
      </c>
      <c r="G157" s="70" t="s">
        <v>36</v>
      </c>
      <c r="H157" s="72" t="s">
        <v>80</v>
      </c>
      <c r="I157" s="201">
        <v>0.31</v>
      </c>
      <c r="J157" s="76">
        <v>1398</v>
      </c>
      <c r="K157" s="79" t="str">
        <f>HYPERLINK("https://amzn.to/2K7LwMR","link*")</f>
        <v>link*</v>
      </c>
      <c r="L157" s="79" t="str">
        <f>HYPERLINK("https://www.bhphotovideo.com/c/search?Ntt=sony%2024-105&amp;N=0&amp;InitialSearch=yes&amp;sts=ma&amp;Top+Nav-Search=&amp;BI=19619&amp;KBID=12129&amp;KWID=EZ","link*")</f>
        <v>link*</v>
      </c>
      <c r="M157" s="79" t="str">
        <f>HYPERLINK("https://amzn.to/2Ld8hOS","link*")</f>
        <v>link*</v>
      </c>
      <c r="N157"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157" s="84">
        <v>38</v>
      </c>
      <c r="P157" s="134" t="s">
        <v>66</v>
      </c>
      <c r="Q157" s="74">
        <v>9</v>
      </c>
      <c r="R157" s="136" t="s">
        <v>135</v>
      </c>
      <c r="S157" s="74" t="s">
        <v>41</v>
      </c>
      <c r="T157" s="74" t="s">
        <v>220</v>
      </c>
    </row>
    <row r="158" spans="1:21" ht="13" hidden="1">
      <c r="A158" s="196" t="str">
        <f>HYPERLINK("https://phillipreeve.net/blog/rolling-review-carl-zeiss-vario-tessar-t-fe-424-70-za/","Sony ZA 4/24-70 OSS")</f>
        <v>Sony ZA 4/24-70 OSS</v>
      </c>
      <c r="B158" s="60">
        <v>426</v>
      </c>
      <c r="C158" s="67">
        <v>24</v>
      </c>
      <c r="D158" s="64">
        <v>4</v>
      </c>
      <c r="E158" s="194">
        <v>73</v>
      </c>
      <c r="F158" s="211">
        <v>95</v>
      </c>
      <c r="G158" s="70" t="s">
        <v>36</v>
      </c>
      <c r="H158" s="72" t="s">
        <v>73</v>
      </c>
      <c r="I158" s="74">
        <v>0.2</v>
      </c>
      <c r="J158" s="76">
        <v>898</v>
      </c>
      <c r="K158" s="79" t="str">
        <f>HYPERLINK("http://amzn.to/2vlG2Yq","link*")</f>
        <v>link*</v>
      </c>
      <c r="L158" s="79" t="str">
        <f>HYPERLINK("https://www.bhphotovideo.com/c/product/1008126-REG/sony_sel2470z_vario_tessar_t_fe_24_70mm.html/BI/19619/KBID/12129/DFF/d10-v21-t1-x466842/SID/EZ","link*")</f>
        <v>link*</v>
      </c>
      <c r="M158" s="79" t="str">
        <f>HYPERLINK("http://amzn.to/2fl1XZk","link*")</f>
        <v>link*</v>
      </c>
      <c r="N158" s="79"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158" s="84">
        <v>40</v>
      </c>
      <c r="P158" s="134" t="s">
        <v>66</v>
      </c>
      <c r="Q158" s="74">
        <v>7</v>
      </c>
      <c r="R158" s="136" t="s">
        <v>43</v>
      </c>
      <c r="S158" s="74" t="s">
        <v>41</v>
      </c>
      <c r="T158" s="74" t="s">
        <v>221</v>
      </c>
    </row>
    <row r="159" spans="1:21" ht="13" hidden="1">
      <c r="A159" s="196" t="str">
        <f>HYPERLINK("https://phillipreeve.net/blog/review-zeiss-batis-distagon-t-25mm-f2/","Zeiss Batis 2/25")</f>
        <v>Zeiss Batis 2/25</v>
      </c>
      <c r="B159" s="60">
        <v>335</v>
      </c>
      <c r="C159" s="67">
        <v>25</v>
      </c>
      <c r="D159" s="64">
        <v>2</v>
      </c>
      <c r="E159" s="194">
        <v>92</v>
      </c>
      <c r="F159" s="211">
        <v>78</v>
      </c>
      <c r="G159" s="70" t="s">
        <v>36</v>
      </c>
      <c r="H159" s="72" t="s">
        <v>73</v>
      </c>
      <c r="I159" s="74">
        <v>0.19</v>
      </c>
      <c r="J159" s="76">
        <v>1299</v>
      </c>
      <c r="K159" s="79" t="str">
        <f>HYPERLINK("https://amzn.to/2ypHQiT","link*")</f>
        <v>link*</v>
      </c>
      <c r="L159" s="79" t="str">
        <f>HYPERLINK("https://www.bhphotovideo.com/c/product/1140832-REG/zeiss_2103_750_25mm_f_2_0_batis_wide.html/BI/19619/KBID/12129/DFF/d10-v21-t1-x627141/SID/EZ","link*")</f>
        <v>link*</v>
      </c>
      <c r="M159" s="79" t="str">
        <f>HYPERLINK("https://amzn.to/2L20DIj","link*")</f>
        <v>link*</v>
      </c>
      <c r="N159" s="7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159" s="84">
        <v>20</v>
      </c>
      <c r="P159" s="70" t="s">
        <v>27</v>
      </c>
      <c r="Q159" s="74">
        <v>9</v>
      </c>
      <c r="R159" s="136" t="s">
        <v>140</v>
      </c>
      <c r="S159" s="74" t="s">
        <v>87</v>
      </c>
      <c r="T159" s="125"/>
    </row>
    <row r="160" spans="1:21" ht="13" hidden="1">
      <c r="A160" s="196" t="str">
        <f>HYPERLINK("https://phillipreeve.net/blog/review-zeiss-loxia-2-4-25mm-distagon/","Zeiss Loxia 2.4/25")</f>
        <v>Zeiss Loxia 2.4/25</v>
      </c>
      <c r="B160" s="60">
        <v>393</v>
      </c>
      <c r="C160" s="67">
        <v>25</v>
      </c>
      <c r="D160" s="64">
        <v>2.4</v>
      </c>
      <c r="E160" s="194">
        <v>62</v>
      </c>
      <c r="F160" s="211">
        <v>75</v>
      </c>
      <c r="G160" s="325" t="s">
        <v>25</v>
      </c>
      <c r="H160" s="72" t="s">
        <v>131</v>
      </c>
      <c r="I160" s="74">
        <v>0.16</v>
      </c>
      <c r="J160" s="76">
        <v>1299</v>
      </c>
      <c r="K160" s="79" t="str">
        <f>HYPERLINK("https://amzn.to/2OlyeAf","link*")</f>
        <v>link*</v>
      </c>
      <c r="L160" s="79" t="str">
        <f>HYPERLINK("https://www.bhphotovideo.com/c/product/1389169-REG/zeiss_000000_2218_783_loxia_25mm_f_2_4_lens.html/BI/19619/KBID/12129/kw/ZE2524L/DFF/d10-v2-t1-xZE2524L","link*")</f>
        <v>link*</v>
      </c>
      <c r="M160" s="79" t="str">
        <f>HYPERLINK("https://amzn.to/2OlyeAf","link*")</f>
        <v>link*</v>
      </c>
      <c r="N160" s="79" t="e">
        <f>HYPERLINK("http://rover.ebay.com/rover/1/711-53200-19255-0/1?icep_ff3=9&amp;pub=5575076376&amp;toolid=10001&amp;campid=5338573609&amp;customid=&amp;icep_uq=Zeissloxia+25mm&amp;icep_sellerId=&amp;icep_ex_kw=&amp;icep_sortBy=12&amp;icep_catId=3323&amp;icep_minPrice=&amp;icep_maxPrice=&amp;ipn=psmain&amp;icep_vectorid=2"&amp;"29466&amp;kwid=902099&amp;mtid=824&amp;kw=lg","link*")</f>
        <v>#VALUE!</v>
      </c>
      <c r="O160" s="84">
        <v>25</v>
      </c>
      <c r="P160" s="70" t="s">
        <v>27</v>
      </c>
      <c r="Q160" s="74">
        <v>10</v>
      </c>
      <c r="R160" s="136" t="s">
        <v>140</v>
      </c>
      <c r="S160" s="74" t="s">
        <v>87</v>
      </c>
      <c r="T160" s="125"/>
    </row>
    <row r="161" spans="1:21" ht="13">
      <c r="A161" s="389" t="s">
        <v>49</v>
      </c>
      <c r="B161" s="390">
        <v>795</v>
      </c>
      <c r="C161" s="384">
        <v>14</v>
      </c>
      <c r="D161" s="391">
        <v>2.8</v>
      </c>
      <c r="E161" s="392">
        <v>85</v>
      </c>
      <c r="F161" s="393">
        <v>131</v>
      </c>
      <c r="G161" s="364" t="s">
        <v>36</v>
      </c>
      <c r="H161" s="365" t="s">
        <v>26</v>
      </c>
      <c r="I161" s="365">
        <v>0.14000000000000001</v>
      </c>
      <c r="J161" s="366">
        <v>1399</v>
      </c>
      <c r="K161" s="367" t="str">
        <f>HYPERLINK("https://amzn.to/2zt8rMC","link*")</f>
        <v>link*</v>
      </c>
      <c r="L161" s="367" t="str">
        <f>HYPERLINK("https://www.bhphotovideo.com/c/product/1492972-REG/sigma_213965_14_24mm_f_2_8_dg_dn.html/BI/19619/KBID/12129/DFF/d10-v21-t1-x976041/SID/EZ","link*")</f>
        <v>link*</v>
      </c>
      <c r="M161" s="370" t="s">
        <v>51</v>
      </c>
      <c r="N161" s="367"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O161" s="368">
        <v>28</v>
      </c>
      <c r="P161" s="364" t="s">
        <v>27</v>
      </c>
      <c r="Q161" s="365">
        <v>11</v>
      </c>
      <c r="R161" s="369" t="s">
        <v>54</v>
      </c>
      <c r="S161" s="370" t="s">
        <v>47</v>
      </c>
      <c r="T161" s="371">
        <v>43739</v>
      </c>
      <c r="U161" s="372" t="s">
        <v>55</v>
      </c>
    </row>
    <row r="162" spans="1:21" ht="13" hidden="1">
      <c r="A162" s="196" t="str">
        <f>HYPERLINK("https://www.systemkamera-forum.de/blog/2015/05/sony-fe-28mm-f2-test-und-erfahrungsbericht/","Sony FE 2/28")</f>
        <v>Sony FE 2/28</v>
      </c>
      <c r="B162" s="60">
        <v>200</v>
      </c>
      <c r="C162" s="67">
        <v>28</v>
      </c>
      <c r="D162" s="64">
        <v>2</v>
      </c>
      <c r="E162" s="194">
        <v>60</v>
      </c>
      <c r="F162" s="211">
        <v>60</v>
      </c>
      <c r="G162" s="70" t="s">
        <v>36</v>
      </c>
      <c r="H162" s="72" t="s">
        <v>124</v>
      </c>
      <c r="I162" s="74">
        <v>0.13</v>
      </c>
      <c r="J162" s="156">
        <v>448</v>
      </c>
      <c r="K162" s="79" t="str">
        <f>HYPERLINK("https://amzn.to/2GXJWdo","link*")</f>
        <v>link*</v>
      </c>
      <c r="L162" s="79" t="str">
        <f>HYPERLINK("https://www.bhphotovideo.com/c/product/1402637-REG/sony_fe_28mm_f_2_lens.html/BI/19619/KBID/12129/kw/SO2820F/DFF/d10-v2-t1-xSO2820F","link*")</f>
        <v>link*</v>
      </c>
      <c r="M162" s="79" t="str">
        <f>HYPERLINK("http://amzn.to/2wyLOCO","link*")</f>
        <v>link*</v>
      </c>
      <c r="N162" s="79"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162" s="84">
        <v>29</v>
      </c>
      <c r="P162" s="70" t="s">
        <v>27</v>
      </c>
      <c r="Q162" s="74">
        <v>9</v>
      </c>
      <c r="R162" s="136" t="s">
        <v>91</v>
      </c>
      <c r="S162" s="74" t="s">
        <v>41</v>
      </c>
      <c r="T162" s="74" t="s">
        <v>219</v>
      </c>
    </row>
    <row r="163" spans="1:21" ht="13" hidden="1">
      <c r="A163" s="196" t="str">
        <f>HYPERLINK("https://phillipreeve.net/blog/review-tamron-28-75mm-f-2-8-di-iii-rxd-sony-e-mount/","Tamron 2.8/28-75")</f>
        <v>Tamron 2.8/28-75</v>
      </c>
      <c r="B163" s="60">
        <v>550</v>
      </c>
      <c r="C163" s="67">
        <v>28</v>
      </c>
      <c r="D163" s="64">
        <v>2.8</v>
      </c>
      <c r="E163" s="194">
        <v>73</v>
      </c>
      <c r="F163" s="211">
        <v>118</v>
      </c>
      <c r="G163" s="70" t="s">
        <v>36</v>
      </c>
      <c r="H163" s="72" t="s">
        <v>73</v>
      </c>
      <c r="I163" s="201">
        <v>0.34</v>
      </c>
      <c r="J163" s="156">
        <v>879</v>
      </c>
      <c r="K163" s="79" t="str">
        <f>HYPERLINK("https://amzn.to/2ST5uxq","link*")</f>
        <v>link*</v>
      </c>
      <c r="L163" s="79" t="str">
        <f>HYPERLINK("https://www.bhphotovideo.com/c/product/1393332-REG/tamron_a036_28_75mm_f_2_8_di_iii.html/BI/19619/KBID/12129/DFF/d10-v21-t1-x892059/SID/EZ","link*")</f>
        <v>link*</v>
      </c>
      <c r="M163" s="79" t="str">
        <f>HYPERLINK("https://amzn.to/2ZmSzdU","link*")</f>
        <v>link*</v>
      </c>
      <c r="N163" s="79"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163" s="84">
        <v>19</v>
      </c>
      <c r="P163" s="70" t="s">
        <v>27</v>
      </c>
      <c r="Q163" s="74">
        <v>9</v>
      </c>
      <c r="R163" s="136" t="s">
        <v>122</v>
      </c>
      <c r="S163" s="74" t="s">
        <v>78</v>
      </c>
      <c r="T163" s="125"/>
    </row>
    <row r="164" spans="1:21" ht="13" hidden="1">
      <c r="A164" s="323" t="s">
        <v>145</v>
      </c>
      <c r="B164" s="60">
        <v>295</v>
      </c>
      <c r="C164" s="67">
        <v>28</v>
      </c>
      <c r="D164" s="64" t="s">
        <v>146</v>
      </c>
      <c r="E164" s="194">
        <v>73</v>
      </c>
      <c r="F164" s="211">
        <v>83</v>
      </c>
      <c r="G164" s="70" t="s">
        <v>36</v>
      </c>
      <c r="H164" s="72" t="s">
        <v>147</v>
      </c>
      <c r="I164" s="74">
        <v>0.19</v>
      </c>
      <c r="J164" s="76">
        <v>398</v>
      </c>
      <c r="K164" s="79" t="str">
        <f>HYPERLINK("https://www.amazon.com/gp/product/B00FYOFADE/ref=as_li_tl?ie=UTF8&amp;tag=wwwphillipree-20&amp;camp=1789&amp;creative=9325&amp;linkCode=as2&amp;creativeASIN=B00FYOFADE&amp;linkId=96720b245156eae53bb1a672d4453d3f","link*")</f>
        <v>link*</v>
      </c>
      <c r="L164" s="79" t="str">
        <f>HYPERLINK("https://www.bhphotovideo.com/c/product/1015472-REG/sony_sel2870_fe_28_70mm_f_3_5_5_6_oss.html/BI/19619/KBID/12129/DFF/d10-v21-t1-x473993/SID/EZ","link*")</f>
        <v>link*</v>
      </c>
      <c r="M164" s="79" t="str">
        <f>HYPERLINK("https://www.amazon.de/gp/product/B00HSHFPD0/ref=as_li_tl?ie=UTF8&amp;tag=wwwphillipree-21&amp;camp=1638&amp;creative=6742&amp;linkCode=as2&amp;creativeASIN=B00HSHFPD0&amp;linkId=6701f30673f8a4071232ca85e1953506","link*")</f>
        <v>link*</v>
      </c>
      <c r="N164" s="79"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164" s="84">
        <v>30</v>
      </c>
      <c r="P164" s="134" t="s">
        <v>66</v>
      </c>
      <c r="Q164" s="74">
        <v>7</v>
      </c>
      <c r="R164" s="136" t="s">
        <v>91</v>
      </c>
      <c r="S164" s="74" t="s">
        <v>41</v>
      </c>
      <c r="T164" s="74" t="s">
        <v>222</v>
      </c>
    </row>
    <row r="165" spans="1:21" ht="13" hidden="1">
      <c r="A165" s="323" t="s">
        <v>151</v>
      </c>
      <c r="B165" s="60">
        <v>1215</v>
      </c>
      <c r="C165" s="67">
        <v>28</v>
      </c>
      <c r="D165" s="64">
        <v>4</v>
      </c>
      <c r="E165" s="194">
        <v>105</v>
      </c>
      <c r="F165" s="211">
        <v>165</v>
      </c>
      <c r="G165" s="70" t="s">
        <v>36</v>
      </c>
      <c r="H165" s="234" t="s">
        <v>152</v>
      </c>
      <c r="I165" s="125"/>
      <c r="J165" s="76">
        <v>249</v>
      </c>
      <c r="K165" s="79" t="str">
        <f>HYPERLINK("http://amzn.to/2v2kiy9","link*")</f>
        <v>link*</v>
      </c>
      <c r="L165" s="79" t="str">
        <f>HYPERLINK("https://www.bhphotovideo.com/c/product/1082051-REG/sony_selp28135g_e_pz_28_135mm_f_4.html/BI/19619/KBID/12129/DFF/d10-v21-t1-x556056/SID/EZ","link*")</f>
        <v>link*</v>
      </c>
      <c r="M165" s="79" t="str">
        <f>HYPERLINK("http://amzn.to/2wlpg9b","link*")</f>
        <v>link*</v>
      </c>
      <c r="N165" s="79"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165" s="84">
        <v>40</v>
      </c>
      <c r="P165" s="134" t="s">
        <v>66</v>
      </c>
      <c r="Q165" s="74">
        <v>9</v>
      </c>
      <c r="R165" s="136" t="s">
        <v>153</v>
      </c>
      <c r="S165" s="74" t="s">
        <v>41</v>
      </c>
      <c r="T165" s="74" t="s">
        <v>224</v>
      </c>
      <c r="U165" s="77" t="s">
        <v>154</v>
      </c>
    </row>
    <row r="166" spans="1:21" ht="13" hidden="1">
      <c r="A166" s="358" t="s">
        <v>56</v>
      </c>
      <c r="B166" s="359">
        <v>505</v>
      </c>
      <c r="C166" s="384">
        <v>14</v>
      </c>
      <c r="D166" s="391">
        <v>2.8</v>
      </c>
      <c r="E166" s="394">
        <v>86</v>
      </c>
      <c r="F166" s="395">
        <v>98</v>
      </c>
      <c r="G166" s="370" t="s">
        <v>36</v>
      </c>
      <c r="H166" s="365" t="s">
        <v>26</v>
      </c>
      <c r="I166" s="365">
        <v>0.12</v>
      </c>
      <c r="J166" s="366">
        <v>799</v>
      </c>
      <c r="K166" s="367" t="str">
        <f>HYPERLINK("https://amzn.to/2SX2HUi","link*")</f>
        <v>link*</v>
      </c>
      <c r="L166" s="367" t="str">
        <f>HYPERLINK("https://www.bhphotovideo.com/c/product/1352863-REG/samyang_syio14af_e_14mm_f_2_8_f_f_wide.html/BI/19619/KBID/12129/DFF/d10-v21-t1-x837928/SID/EZ","link*")</f>
        <v>link*</v>
      </c>
      <c r="M166" s="367" t="str">
        <f>HYPERLINK("https://amzn.to/31hwSIL","link*")</f>
        <v>link*</v>
      </c>
      <c r="N166" s="367"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O166" s="368">
        <v>20</v>
      </c>
      <c r="P166" s="364" t="s">
        <v>27</v>
      </c>
      <c r="Q166" s="365">
        <v>7</v>
      </c>
      <c r="R166" s="388">
        <v>43752</v>
      </c>
      <c r="S166" s="370" t="s">
        <v>38</v>
      </c>
      <c r="T166" s="371">
        <v>43221</v>
      </c>
      <c r="U166" s="372"/>
    </row>
    <row r="167" spans="1:21" ht="13" hidden="1">
      <c r="A167" s="196" t="str">
        <f>HYPERLINK("https://phillipreeve.net/blog/review-sony-fe-35mm-1-4-za/","Sony ZA 1.4/35")</f>
        <v>Sony ZA 1.4/35</v>
      </c>
      <c r="B167" s="60">
        <v>630</v>
      </c>
      <c r="C167" s="67">
        <v>35</v>
      </c>
      <c r="D167" s="64">
        <v>1.4</v>
      </c>
      <c r="E167" s="194">
        <v>79</v>
      </c>
      <c r="F167" s="211">
        <v>112</v>
      </c>
      <c r="G167" s="74" t="s">
        <v>36</v>
      </c>
      <c r="H167" s="72" t="s">
        <v>64</v>
      </c>
      <c r="I167" s="74">
        <v>0.18</v>
      </c>
      <c r="J167" s="76">
        <v>1599</v>
      </c>
      <c r="K167" s="79" t="str">
        <f>HYPERLINK("https://amzn.to/2LRSMOS","link*")</f>
        <v>link*</v>
      </c>
      <c r="L167" s="79" t="str">
        <f>HYPERLINK("https://www.bhphotovideo.com/c/product/1126137-REG/sony_sel35f14z_distagon_t_fe_35mm.html/BI/19619/KBID/12129/DFF/d10-v21-t1-x612725/SID/EZ","link*")</f>
        <v>link*</v>
      </c>
      <c r="M167" s="79" t="str">
        <f>HYPERLINK("https://amzn.to/2ZmfSnX","link*")</f>
        <v>link*</v>
      </c>
      <c r="N167" s="79"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167" s="84">
        <v>30</v>
      </c>
      <c r="P167" s="70" t="s">
        <v>27</v>
      </c>
      <c r="Q167" s="74">
        <v>9</v>
      </c>
      <c r="R167" s="112">
        <v>43689</v>
      </c>
      <c r="S167" s="74" t="s">
        <v>41</v>
      </c>
      <c r="T167" s="74" t="s">
        <v>219</v>
      </c>
    </row>
    <row r="168" spans="1:21" ht="13" hidden="1">
      <c r="A168" s="323" t="s">
        <v>155</v>
      </c>
      <c r="B168" s="60">
        <v>645</v>
      </c>
      <c r="C168" s="67">
        <v>35</v>
      </c>
      <c r="D168" s="64">
        <v>1.4</v>
      </c>
      <c r="E168" s="194">
        <v>76</v>
      </c>
      <c r="F168" s="216">
        <v>115</v>
      </c>
      <c r="G168" s="74" t="s">
        <v>36</v>
      </c>
      <c r="H168" s="72" t="s">
        <v>73</v>
      </c>
      <c r="I168" s="74">
        <v>0.17</v>
      </c>
      <c r="J168" s="76">
        <v>799</v>
      </c>
      <c r="K168" s="79" t="str">
        <f>HYPERLINK("https://amzn.to/2K8DDXH","link*")</f>
        <v>link*</v>
      </c>
      <c r="L168" s="79" t="str">
        <f t="shared" ref="L168:L169" si="3">HYPERLINK("https://www.bhphotovideo.com/c/product/1381712-REG/voigtlander_nokton_classic_35mm_f_1_4.html/BI/19619/KBID/12129/DFF/d10-v21-t1-x877353/SID/EZ","link*")</f>
        <v>link*</v>
      </c>
      <c r="M168" s="79" t="str">
        <f>HYPERLINK("https://amzn.to/2Zhl3FI","link*")</f>
        <v>link*</v>
      </c>
      <c r="N168" s="79"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168" s="84">
        <v>30</v>
      </c>
      <c r="P168" s="70" t="s">
        <v>27</v>
      </c>
      <c r="Q168" s="74">
        <v>9</v>
      </c>
      <c r="R168" s="112">
        <v>43719</v>
      </c>
      <c r="S168" s="74" t="s">
        <v>38</v>
      </c>
      <c r="T168" s="125"/>
      <c r="U168" s="77" t="s">
        <v>156</v>
      </c>
    </row>
    <row r="169" spans="1:21" ht="13" hidden="1">
      <c r="A169" s="196" t="str">
        <f>HYPERLINK("https://phillipreeve.net/blog/review-voigtlander-35mm-1-4-nokton-e-classic/","Voigtlander 35mm F1.4 Nokton Classic")</f>
        <v>Voigtlander 35mm F1.4 Nokton Classic</v>
      </c>
      <c r="B169" s="60">
        <v>262</v>
      </c>
      <c r="C169" s="67">
        <v>35</v>
      </c>
      <c r="D169" s="64">
        <v>1.4</v>
      </c>
      <c r="E169" s="194">
        <v>67</v>
      </c>
      <c r="F169" s="216">
        <v>40</v>
      </c>
      <c r="G169" s="328" t="s">
        <v>25</v>
      </c>
      <c r="H169" s="72" t="s">
        <v>71</v>
      </c>
      <c r="I169" s="74">
        <v>0.16</v>
      </c>
      <c r="J169" s="76">
        <v>799</v>
      </c>
      <c r="K169" s="79" t="str">
        <f>HYPERLINK("https://amzn.to/2M1M8WH","link*")</f>
        <v>link*</v>
      </c>
      <c r="L169" s="79" t="str">
        <f t="shared" si="3"/>
        <v>link*</v>
      </c>
      <c r="M169" s="79" t="str">
        <f>HYPERLINK("https://amzn.to/2ZswTZ3","link*")</f>
        <v>link*</v>
      </c>
      <c r="N169" s="79"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c r="O169" s="84">
        <v>30</v>
      </c>
      <c r="P169" s="70" t="s">
        <v>27</v>
      </c>
      <c r="Q169" s="74">
        <v>10</v>
      </c>
      <c r="R169" s="112">
        <v>43624</v>
      </c>
      <c r="S169" s="74" t="s">
        <v>29</v>
      </c>
      <c r="T169" s="74" t="s">
        <v>226</v>
      </c>
    </row>
    <row r="170" spans="1:21" ht="13" hidden="1">
      <c r="A170" s="373" t="str">
        <f>HYPERLINK("https://phillipreeve.net/blog/review-voigtlander-15mm-4-5-e-super-wide-heliar/","Voigtlander 15mm F4.5 Super Wide Heliar")</f>
        <v>Voigtlander 15mm F4.5 Super Wide Heliar</v>
      </c>
      <c r="B170" s="374">
        <v>298</v>
      </c>
      <c r="C170" s="396">
        <v>15</v>
      </c>
      <c r="D170" s="361">
        <v>4.5</v>
      </c>
      <c r="E170" s="375">
        <v>67</v>
      </c>
      <c r="F170" s="397">
        <v>62</v>
      </c>
      <c r="G170" s="377" t="s">
        <v>25</v>
      </c>
      <c r="H170" s="365" t="s">
        <v>71</v>
      </c>
      <c r="I170" s="365">
        <v>8.3000000000000004E-2</v>
      </c>
      <c r="J170" s="366">
        <v>799</v>
      </c>
      <c r="K170" s="367" t="str">
        <f>HYPERLINK("https://amzn.to/2YwplrQ","link*")</f>
        <v>link*</v>
      </c>
      <c r="L170" s="367" t="str">
        <f>HYPERLINK("https://www.bhphotovideo.com/c/product/1219549-REG/voigtlander_ba329b_super_wide_heliar_15mm_f_4_5.html/BI/19619/KBID/12129/DFF/d10-v21-t1-x618202/SID/EZ","link*")</f>
        <v>link*</v>
      </c>
      <c r="M170" s="367" t="str">
        <f>HYPERLINK("https://amzn.to/2ZpTKt5","link*")</f>
        <v>link*</v>
      </c>
      <c r="N170" s="367"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O170" s="368">
        <v>30</v>
      </c>
      <c r="P170" s="364" t="s">
        <v>27</v>
      </c>
      <c r="Q170" s="365">
        <v>10</v>
      </c>
      <c r="R170" s="369" t="s">
        <v>43</v>
      </c>
      <c r="S170" s="370" t="s">
        <v>29</v>
      </c>
      <c r="T170" s="371">
        <v>42401</v>
      </c>
      <c r="U170" s="372"/>
    </row>
    <row r="171" spans="1:21" ht="13" hidden="1">
      <c r="A171" s="337" t="s">
        <v>157</v>
      </c>
      <c r="B171" s="60">
        <v>280</v>
      </c>
      <c r="C171" s="67">
        <v>35</v>
      </c>
      <c r="D171" s="64">
        <v>1.8</v>
      </c>
      <c r="E171" s="194">
        <v>66</v>
      </c>
      <c r="F171" s="216">
        <v>73</v>
      </c>
      <c r="G171" s="74" t="s">
        <v>36</v>
      </c>
      <c r="H171" s="72" t="s">
        <v>147</v>
      </c>
      <c r="I171" s="239">
        <v>0.24</v>
      </c>
      <c r="J171" s="76">
        <v>749</v>
      </c>
      <c r="K171" s="113"/>
      <c r="L171" s="79" t="str">
        <f>HYPERLINK("https://www.bhphotovideo.com/c/product/1492866-REG/sony_sel35f18f_35mm_f_1_8_fe_lens.html/BI/19619/KBID/12129/DFF/d10-v21-t1-x975763/SID/EZ","link*")</f>
        <v>link*</v>
      </c>
      <c r="M171" s="79" t="str">
        <f>HYPERLINK("https://amzn.to/2PiATLC","link*")</f>
        <v>link*</v>
      </c>
      <c r="N171" s="79"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171" s="84">
        <v>22</v>
      </c>
      <c r="P171" s="70" t="s">
        <v>27</v>
      </c>
      <c r="Q171" s="74">
        <v>9</v>
      </c>
      <c r="R171" s="112">
        <v>43719</v>
      </c>
      <c r="S171" s="74" t="s">
        <v>41</v>
      </c>
      <c r="T171" s="74" t="s">
        <v>216</v>
      </c>
    </row>
    <row r="172" spans="1:21" ht="13" hidden="1">
      <c r="A172" s="196" t="str">
        <f>HYPERLINK("https://phillipreeve.net/blog/review-zeiss-loxia-35mm-2-0/","Zeiss Loxia 2/35 Biogon T*")</f>
        <v>Zeiss Loxia 2/35 Biogon T*</v>
      </c>
      <c r="B172" s="60">
        <v>340</v>
      </c>
      <c r="C172" s="67">
        <v>35</v>
      </c>
      <c r="D172" s="64">
        <v>2</v>
      </c>
      <c r="E172" s="194">
        <v>62</v>
      </c>
      <c r="F172" s="211">
        <v>66</v>
      </c>
      <c r="G172" s="328" t="s">
        <v>25</v>
      </c>
      <c r="H172" s="72" t="s">
        <v>131</v>
      </c>
      <c r="I172" s="74">
        <v>0.17</v>
      </c>
      <c r="J172" s="76">
        <v>1299</v>
      </c>
      <c r="K172" s="79" t="str">
        <f>HYPERLINK("https://amzn.to/2T2sJWe","link*")</f>
        <v>link*</v>
      </c>
      <c r="L172" s="79" t="str">
        <f>HYPERLINK("https://www.bhphotovideo.com/c/product/1080388-REG/zeiss_2103_749_loxia_35mm_f_2_biogon.html/BI/19619/KBID/12129/DFF/d10-v21-t1-x553792/SID/EZ","link*")</f>
        <v>link*</v>
      </c>
      <c r="M172" s="113" t="s">
        <v>51</v>
      </c>
      <c r="N172" s="79"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O172" s="84">
        <v>30</v>
      </c>
      <c r="P172" s="70" t="s">
        <v>27</v>
      </c>
      <c r="Q172" s="74">
        <v>10</v>
      </c>
      <c r="R172" s="112">
        <v>43625</v>
      </c>
      <c r="S172" s="74" t="s">
        <v>87</v>
      </c>
      <c r="T172" s="125"/>
      <c r="U172" s="77" t="s">
        <v>166</v>
      </c>
    </row>
    <row r="173" spans="1:21" ht="13" hidden="1">
      <c r="A173" s="196" t="str">
        <f>HYPERLINK("http://www.photozone.de/sonyalphaff/865-zeiss35f28ff","Sony ZA 2.8/35")</f>
        <v>Sony ZA 2.8/35</v>
      </c>
      <c r="B173" s="60">
        <v>120</v>
      </c>
      <c r="C173" s="67">
        <v>35</v>
      </c>
      <c r="D173" s="64">
        <v>2.8</v>
      </c>
      <c r="E173" s="194">
        <v>62</v>
      </c>
      <c r="F173" s="211">
        <v>37</v>
      </c>
      <c r="G173" s="74" t="s">
        <v>36</v>
      </c>
      <c r="H173" s="72" t="s">
        <v>124</v>
      </c>
      <c r="I173" s="74">
        <v>0.12</v>
      </c>
      <c r="J173" s="76">
        <v>798</v>
      </c>
      <c r="K173" s="79" t="str">
        <f>HYPERLINK("https://amzn.to/2yvhL24","link*")</f>
        <v>link*</v>
      </c>
      <c r="L173" s="79" t="str">
        <f>HYPERLINK("https://www.bhphotovideo.com/c/product/1008123-REG/sony_sel35f28z_sonnar_t_fe_35mm.html/BI/19619/KBID/12129/DFF/d10-v21-t1-x466840/SID/EZ","link*")</f>
        <v>link*</v>
      </c>
      <c r="M173" s="113" t="s">
        <v>51</v>
      </c>
      <c r="N173" s="79"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173" s="84">
        <v>35</v>
      </c>
      <c r="P173" s="70" t="s">
        <v>27</v>
      </c>
      <c r="Q173" s="74">
        <v>9</v>
      </c>
      <c r="R173" s="112">
        <v>43592</v>
      </c>
      <c r="S173" s="74" t="s">
        <v>41</v>
      </c>
      <c r="T173" s="74" t="s">
        <v>227</v>
      </c>
    </row>
    <row r="174" spans="1:21" ht="13" hidden="1">
      <c r="A174" s="323" t="s">
        <v>158</v>
      </c>
      <c r="B174" s="60">
        <v>86</v>
      </c>
      <c r="C174" s="67">
        <v>35</v>
      </c>
      <c r="D174" s="64">
        <v>2.8</v>
      </c>
      <c r="E174" s="194">
        <v>62</v>
      </c>
      <c r="F174" s="211">
        <v>33</v>
      </c>
      <c r="G174" s="74" t="s">
        <v>36</v>
      </c>
      <c r="H174" s="72" t="s">
        <v>124</v>
      </c>
      <c r="I174" s="74">
        <v>0.12</v>
      </c>
      <c r="J174" s="241">
        <v>399</v>
      </c>
      <c r="K174" s="79" t="str">
        <f t="shared" ref="K174:K175" si="4">HYPERLINK("https://amzn.to/2MGKrxp","link*")</f>
        <v>link*</v>
      </c>
      <c r="L174" s="79" t="str">
        <f>HYPERLINK("https://www.bhphotovideo.com/c/product/1348365-REG/samyang_syio35af_e_35mm_f2_8_compact_wide.html/BI/19619/KBID/12129/DFF/d10-v21-t1-x832776/SID/EZ","link*")</f>
        <v>link*</v>
      </c>
      <c r="M174" s="113" t="s">
        <v>51</v>
      </c>
      <c r="N174" s="79"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174" s="84">
        <v>35</v>
      </c>
      <c r="P174" s="70" t="s">
        <v>27</v>
      </c>
      <c r="Q174" s="74">
        <v>9</v>
      </c>
      <c r="R174" s="112">
        <v>43623</v>
      </c>
      <c r="S174" s="74" t="s">
        <v>38</v>
      </c>
      <c r="T174" s="74" t="s">
        <v>228</v>
      </c>
    </row>
    <row r="175" spans="1:21" ht="13" hidden="1">
      <c r="A175" s="196" t="str">
        <f>HYPERLINK("https://phillipreeve.net/blog/voigtlander-40mm-f1-2-nokton-aspherical-rolling-review/","Voigtlander 40mm F1.2 Nokton")</f>
        <v>Voigtlander 40mm F1.2 Nokton</v>
      </c>
      <c r="B175" s="60">
        <v>420</v>
      </c>
      <c r="C175" s="67">
        <v>40</v>
      </c>
      <c r="D175" s="304">
        <v>1.2</v>
      </c>
      <c r="E175" s="194">
        <v>70</v>
      </c>
      <c r="F175" s="211">
        <v>59</v>
      </c>
      <c r="G175" s="328" t="s">
        <v>25</v>
      </c>
      <c r="H175" s="72" t="s">
        <v>71</v>
      </c>
      <c r="I175" s="74">
        <v>0.16</v>
      </c>
      <c r="J175" s="76">
        <v>1099</v>
      </c>
      <c r="K175" s="79" t="str">
        <f t="shared" si="4"/>
        <v>link*</v>
      </c>
      <c r="L175" s="79" t="str">
        <f>HYPERLINK("https://www.bhphotovideo.com/c/product/1362557-REG/voigtlander_nokton_40mm_f_1_2_aspherical.html/BI/19619/KBID/12129/DFF/d10-v21-t1-x851241/SID/EZ","link*")</f>
        <v>link*</v>
      </c>
      <c r="M175" s="113" t="s">
        <v>51</v>
      </c>
      <c r="N175" s="79"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c r="O175" s="84">
        <v>35</v>
      </c>
      <c r="P175" s="70" t="s">
        <v>27</v>
      </c>
      <c r="Q175" s="74">
        <v>10</v>
      </c>
      <c r="R175" s="112">
        <v>43624</v>
      </c>
      <c r="S175" s="74" t="s">
        <v>29</v>
      </c>
      <c r="T175" s="74" t="s">
        <v>229</v>
      </c>
    </row>
    <row r="176" spans="1:21" ht="13" hidden="1">
      <c r="A176" s="373" t="str">
        <f>HYPERLINK("https://phillipreeve.net/blog/sony-fe-16-35mm-f4-za-t-review/","Sony ZA 4/16-35 OSS ")</f>
        <v xml:space="preserve">Sony ZA 4/16-35 OSS </v>
      </c>
      <c r="B176" s="359">
        <v>523</v>
      </c>
      <c r="C176" s="398">
        <v>16</v>
      </c>
      <c r="D176" s="361">
        <v>4</v>
      </c>
      <c r="E176" s="399">
        <v>78</v>
      </c>
      <c r="F176" s="395">
        <v>98</v>
      </c>
      <c r="G176" s="364" t="s">
        <v>36</v>
      </c>
      <c r="H176" s="365" t="s">
        <v>64</v>
      </c>
      <c r="I176" s="365">
        <v>0.19</v>
      </c>
      <c r="J176" s="366">
        <v>1349</v>
      </c>
      <c r="K176" s="367" t="str">
        <f>HYPERLINK("http://amzn.to/2v2sY7q","link*")</f>
        <v>link*</v>
      </c>
      <c r="L176" s="367" t="str">
        <f>HYPERLINK("https://www.bhphotovideo.com/c/product/1380866-REG/sony_16_35mm_f_4_vario_tsr.html/BI/19619/KBID/12129/kw/SO16354F/DFF/d10-v2-t1-xSO16354F","link*")</f>
        <v>link*</v>
      </c>
      <c r="M176" s="367" t="str">
        <f>HYPERLINK("http://amzn.to/2wyMLuP","link*")</f>
        <v>link*</v>
      </c>
      <c r="N176" s="367"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c r="O176" s="368">
        <v>28</v>
      </c>
      <c r="P176" s="701" t="s">
        <v>66</v>
      </c>
      <c r="Q176" s="365">
        <v>7</v>
      </c>
      <c r="R176" s="369" t="s">
        <v>43</v>
      </c>
      <c r="S176" s="370" t="s">
        <v>41</v>
      </c>
      <c r="T176" s="371">
        <v>41883</v>
      </c>
      <c r="U176" s="372"/>
    </row>
    <row r="177" spans="1:21" ht="13" hidden="1">
      <c r="A177" s="196" t="str">
        <f>HYPERLINK("https://phillipreeve.net/blog/review-zeiss-batis-2-40-cf/","Zeiss Batis 2/40 CF T*")</f>
        <v>Zeiss Batis 2/40 CF T*</v>
      </c>
      <c r="B177" s="60">
        <v>361</v>
      </c>
      <c r="C177" s="67">
        <v>40</v>
      </c>
      <c r="D177" s="64">
        <v>2</v>
      </c>
      <c r="E177" s="194">
        <v>91</v>
      </c>
      <c r="F177" s="216">
        <v>93</v>
      </c>
      <c r="G177" s="74" t="s">
        <v>36</v>
      </c>
      <c r="H177" s="72" t="s">
        <v>73</v>
      </c>
      <c r="I177" s="239">
        <v>0.3</v>
      </c>
      <c r="J177" s="76">
        <v>1299</v>
      </c>
      <c r="K177" s="79" t="str">
        <f>HYPERLINK("https://amzn.to/2LUN0MF","link*")</f>
        <v>link*</v>
      </c>
      <c r="L177" s="79" t="str">
        <f>HYPERLINK("https://www.bhphotovideo.com/c/product/1436738-REG/zeiss_000000_2239_137_batis_40mm_f_2_cf.html/BI/19619/KBID/12129/DFF/d10-v21-t1-x915694/SID/EZ","link*")</f>
        <v>link*</v>
      </c>
      <c r="M177" s="113" t="s">
        <v>51</v>
      </c>
      <c r="N177" s="79"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177" s="84">
        <v>24</v>
      </c>
      <c r="P177" s="70" t="s">
        <v>27</v>
      </c>
      <c r="Q177" s="74">
        <v>9</v>
      </c>
      <c r="R177" s="112">
        <v>43686</v>
      </c>
      <c r="S177" s="74" t="s">
        <v>87</v>
      </c>
      <c r="T177" s="125"/>
      <c r="U177" s="77" t="s">
        <v>159</v>
      </c>
    </row>
    <row r="178" spans="1:21" ht="13" hidden="1">
      <c r="A178" s="337" t="s">
        <v>160</v>
      </c>
      <c r="B178" s="60">
        <v>162</v>
      </c>
      <c r="C178" s="67">
        <v>45</v>
      </c>
      <c r="D178" s="64">
        <v>1.8</v>
      </c>
      <c r="E178" s="194">
        <v>62</v>
      </c>
      <c r="F178" s="216">
        <v>56</v>
      </c>
      <c r="G178" s="74" t="s">
        <v>36</v>
      </c>
      <c r="H178" s="72" t="s">
        <v>124</v>
      </c>
      <c r="I178" s="74">
        <v>0.12</v>
      </c>
      <c r="J178" s="184">
        <v>399</v>
      </c>
      <c r="K178" s="79" t="str">
        <f>HYPERLINK("https://amzn.to/2YC6MST","link*")</f>
        <v>link*</v>
      </c>
      <c r="L178" s="79" t="str">
        <f>HYPERLINK("https://www.bhphotovideo.com/c/product/1478738-REG/samyang_af_45mm_f_1_8_fe.html/BI/19619/KBID/12129/DFF/d10-v21-t1-x964329/SID/EZ","link*")</f>
        <v>link*</v>
      </c>
      <c r="M178" s="113" t="s">
        <v>51</v>
      </c>
      <c r="N178" s="79"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178" s="84">
        <v>45</v>
      </c>
      <c r="P178" s="70" t="s">
        <v>27</v>
      </c>
      <c r="Q178" s="74">
        <v>9</v>
      </c>
      <c r="R178" s="112">
        <v>43623</v>
      </c>
      <c r="S178" s="74" t="s">
        <v>38</v>
      </c>
      <c r="T178" s="125"/>
    </row>
    <row r="179" spans="1:21" ht="13" hidden="1">
      <c r="A179" s="358" t="s">
        <v>67</v>
      </c>
      <c r="B179" s="390">
        <v>680</v>
      </c>
      <c r="C179" s="398">
        <v>16</v>
      </c>
      <c r="D179" s="391">
        <v>2.8</v>
      </c>
      <c r="E179" s="403">
        <v>89</v>
      </c>
      <c r="F179" s="404">
        <v>122</v>
      </c>
      <c r="G179" s="364" t="s">
        <v>36</v>
      </c>
      <c r="H179" s="365" t="s">
        <v>68</v>
      </c>
      <c r="I179" s="365">
        <v>0.19</v>
      </c>
      <c r="J179" s="366">
        <v>2199</v>
      </c>
      <c r="K179" s="367" t="str">
        <f>HYPERLINK("https://amzn.to/2SR0IRl","link*")</f>
        <v>link*</v>
      </c>
      <c r="L179" s="367" t="str">
        <f>HYPERLINK("https://www.bhphotovideo.com/c/product/1338516-REG/sony_sel1635gm_fe_16_35mm_f_2_8_gm.html/BI/19619/KBID/12129/DFF/d10-v21-t1-x822837/SID/EZ","link*")</f>
        <v>link*</v>
      </c>
      <c r="M179" s="367" t="str">
        <f>HYPERLINK("https://amzn.to/2T1ZxOU","link*")</f>
        <v>link*</v>
      </c>
      <c r="N179" s="367"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O179" s="368">
        <v>28</v>
      </c>
      <c r="P179" s="364" t="s">
        <v>27</v>
      </c>
      <c r="Q179" s="365">
        <v>11</v>
      </c>
      <c r="R179" s="369" t="s">
        <v>72</v>
      </c>
      <c r="S179" s="370" t="s">
        <v>41</v>
      </c>
      <c r="T179" s="371">
        <v>42856</v>
      </c>
      <c r="U179" s="372"/>
    </row>
    <row r="180" spans="1:21" ht="13" hidden="1">
      <c r="A180" s="196" t="str">
        <f>HYPERLINK("https://phillipreeve.net/blog/review-voigtlander-50mm-1-2-nokton-e/","Voigtlander 50mm F1.2 Nokton")</f>
        <v>Voigtlander 50mm F1.2 Nokton</v>
      </c>
      <c r="B180" s="60">
        <v>440</v>
      </c>
      <c r="C180" s="67">
        <v>50</v>
      </c>
      <c r="D180" s="304">
        <v>1.2</v>
      </c>
      <c r="E180" s="194">
        <v>70</v>
      </c>
      <c r="F180" s="211">
        <v>58</v>
      </c>
      <c r="G180" s="328" t="s">
        <v>25</v>
      </c>
      <c r="H180" s="72" t="s">
        <v>71</v>
      </c>
      <c r="I180" s="125"/>
      <c r="J180" s="76">
        <v>1099</v>
      </c>
      <c r="K180" s="79" t="str">
        <f>HYPERLINK("https://amzn.to/2OAfE7N","link*")</f>
        <v>link*</v>
      </c>
      <c r="L180" s="79" t="str">
        <f>HYPERLINK("https://www.bhphotovideo.com/c/product/1433349-REG/voigtlander_ba348a_nokton_50mm_f_1_2_aspherical.html/BI/19619/KBID/12129/DFF/d10-v21-t1-x915623/SID/EZ","link*")</f>
        <v>link*</v>
      </c>
      <c r="M180" s="113" t="s">
        <v>51</v>
      </c>
      <c r="N180" s="79" t="e">
        <f>HYPERLINK("http://rover.ebay.com/rover/1/711-53200-19255-0/1?icep_ff3=9&amp;pub=5575076376&amp;toolid=10001&amp;campid=5338164340&amp;customid=&amp;icep_uq=sony+50+1.2&amp;icep_sellerId=&amp;icep_ex_kw=&amp;icep_sortBy=12&amp;icep_catId=3323&amp;icep_minPrice=&amp;icep_maxPrice=&amp;ipn=psmain&amp;icep_vectorid=22946"&amp;"6&amp;kwid=902099&amp;mtid=824&amp;kw=lg","link*")</f>
        <v>#VALUE!</v>
      </c>
      <c r="O180" s="84">
        <v>45</v>
      </c>
      <c r="P180" s="70" t="s">
        <v>27</v>
      </c>
      <c r="Q180" s="74">
        <v>12</v>
      </c>
      <c r="R180" s="112">
        <v>43624</v>
      </c>
      <c r="S180" s="74" t="s">
        <v>29</v>
      </c>
      <c r="T180" s="74" t="s">
        <v>230</v>
      </c>
    </row>
    <row r="181" spans="1:21" ht="13" hidden="1">
      <c r="A181" s="323" t="s">
        <v>163</v>
      </c>
      <c r="B181" s="60">
        <v>778</v>
      </c>
      <c r="C181" s="67">
        <v>50</v>
      </c>
      <c r="D181" s="64">
        <v>1.4</v>
      </c>
      <c r="E181" s="194">
        <v>84</v>
      </c>
      <c r="F181" s="211">
        <v>108</v>
      </c>
      <c r="G181" s="74" t="s">
        <v>36</v>
      </c>
      <c r="H181" s="72" t="s">
        <v>64</v>
      </c>
      <c r="I181" s="74">
        <v>0.15</v>
      </c>
      <c r="J181" s="76">
        <v>1499</v>
      </c>
      <c r="K181" s="79" t="str">
        <f>HYPERLINK("https://amzn.to/2K88EL7","link*")</f>
        <v>link*</v>
      </c>
      <c r="L181" s="113" t="s">
        <v>51</v>
      </c>
      <c r="M181" s="113" t="s">
        <v>51</v>
      </c>
      <c r="N181" s="79"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181" s="84">
        <v>45</v>
      </c>
      <c r="P181" s="70" t="s">
        <v>27</v>
      </c>
      <c r="Q181" s="74">
        <v>11</v>
      </c>
      <c r="R181" s="112">
        <v>43720</v>
      </c>
      <c r="S181" s="74" t="s">
        <v>41</v>
      </c>
      <c r="T181" s="125"/>
    </row>
    <row r="182" spans="1:21" ht="13" hidden="1">
      <c r="A182" s="406" t="str">
        <f>HYPERLINK("https://phillipreeve.net/blog/review-tamron-17-28mm-f-2-8-di-iii-rxd/","Tamron 17-28mm f/2.8 Di III RXD")</f>
        <v>Tamron 17-28mm f/2.8 Di III RXD</v>
      </c>
      <c r="B182" s="359">
        <v>420</v>
      </c>
      <c r="C182" s="407">
        <v>17</v>
      </c>
      <c r="D182" s="391">
        <v>2.8</v>
      </c>
      <c r="E182" s="408">
        <v>73</v>
      </c>
      <c r="F182" s="409">
        <v>99</v>
      </c>
      <c r="G182" s="364" t="s">
        <v>36</v>
      </c>
      <c r="H182" s="365" t="s">
        <v>73</v>
      </c>
      <c r="I182" s="365">
        <v>0.19</v>
      </c>
      <c r="J182" s="410">
        <v>899</v>
      </c>
      <c r="K182" s="367" t="str">
        <f>HYPERLINK("https://amzn.to/2Hv3AyB","link*")</f>
        <v>link*</v>
      </c>
      <c r="L182" s="367" t="str">
        <f>HYPERLINK("https://www.bhphotovideo.com/c/product/1461529-REG/tamron_a046_17_28mm_f_2_8_di_iii.html/BI/19619/KBID/12129/DFF/d10-v21-t1-x946694/SID/EZ","link*")</f>
        <v>link*</v>
      </c>
      <c r="M182" s="367" t="str">
        <f>HYPERLINK("https://amzn.to/2YkrkQB","link*")</f>
        <v>link*</v>
      </c>
      <c r="N182" s="367"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O182" s="368">
        <v>19</v>
      </c>
      <c r="P182" s="364" t="s">
        <v>27</v>
      </c>
      <c r="Q182" s="365">
        <v>9</v>
      </c>
      <c r="R182" s="369" t="s">
        <v>77</v>
      </c>
      <c r="S182" s="370" t="s">
        <v>78</v>
      </c>
      <c r="T182" s="371">
        <v>43647</v>
      </c>
      <c r="U182" s="372"/>
    </row>
    <row r="183" spans="1:21" ht="13" hidden="1">
      <c r="A183" s="323" t="s">
        <v>165</v>
      </c>
      <c r="B183" s="60">
        <v>585</v>
      </c>
      <c r="C183" s="67">
        <v>50</v>
      </c>
      <c r="D183" s="64">
        <v>1.4</v>
      </c>
      <c r="E183" s="194">
        <v>74</v>
      </c>
      <c r="F183" s="211">
        <v>98</v>
      </c>
      <c r="G183" s="74" t="s">
        <v>36</v>
      </c>
      <c r="H183" s="72" t="s">
        <v>73</v>
      </c>
      <c r="I183" s="74">
        <v>0.15</v>
      </c>
      <c r="J183" s="76">
        <v>699</v>
      </c>
      <c r="K183" s="79" t="str">
        <f>HYPERLINK("https://amzn.to/2SY1Pyr","link*")</f>
        <v>link*</v>
      </c>
      <c r="L183" s="79" t="str">
        <f>HYPERLINK("https://www.bhphotovideo.com/c/product/1352862-REG/samyang_syio50af_e_50mm_f_1_4_auto_focus.html/BI/19619/KBID/12129/DFF/d10-v21-t1-x837927/SID/EZ","link*")</f>
        <v>link*</v>
      </c>
      <c r="M183" s="113" t="s">
        <v>51</v>
      </c>
      <c r="N183" s="79"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183" s="84">
        <v>45</v>
      </c>
      <c r="P183" s="70" t="s">
        <v>27</v>
      </c>
      <c r="Q183" s="74">
        <v>9</v>
      </c>
      <c r="R183" s="112">
        <v>43686</v>
      </c>
      <c r="S183" s="74" t="s">
        <v>38</v>
      </c>
      <c r="T183" s="125"/>
    </row>
    <row r="184" spans="1:21" ht="13" hidden="1">
      <c r="A184" s="196" t="str">
        <f>HYPERLINK("https://phillipreeve.net/blog/review-sony-fe-1-850/","Sony 50mm F1.8")</f>
        <v>Sony 50mm F1.8</v>
      </c>
      <c r="B184" s="60">
        <v>186</v>
      </c>
      <c r="C184" s="67">
        <v>50</v>
      </c>
      <c r="D184" s="64">
        <v>1.8</v>
      </c>
      <c r="E184" s="194">
        <v>69</v>
      </c>
      <c r="F184" s="211">
        <v>60</v>
      </c>
      <c r="G184" s="74" t="s">
        <v>36</v>
      </c>
      <c r="H184" s="72" t="s">
        <v>124</v>
      </c>
      <c r="I184" s="74">
        <v>0.14000000000000001</v>
      </c>
      <c r="J184" s="156">
        <v>249</v>
      </c>
      <c r="K184" s="79" t="str">
        <f>HYPERLINK("http://amzn.to/2v2F5Se","link*")</f>
        <v>link*</v>
      </c>
      <c r="L184" s="79" t="str">
        <f>HYPERLINK("https://www.bhphotovideo.com/c/product/1242613-REG/sony_sel50f18f_fe_50mm_f_1_8_lens.html/BI/19619/KBID/12129/kw/SO5018F/DFF/d10-v2-t1-xSO5018F","link*")</f>
        <v>link*</v>
      </c>
      <c r="M184" s="79" t="str">
        <f>HYPERLINK("http://amzn.to/2wyHB25","link*")</f>
        <v>link*</v>
      </c>
      <c r="N184"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184" s="84">
        <v>45</v>
      </c>
      <c r="P184" s="70" t="s">
        <v>27</v>
      </c>
      <c r="Q184" s="74">
        <v>7</v>
      </c>
      <c r="R184" s="112">
        <v>43591</v>
      </c>
      <c r="S184" s="74" t="s">
        <v>41</v>
      </c>
      <c r="T184" s="74" t="s">
        <v>231</v>
      </c>
    </row>
    <row r="185" spans="1:21" ht="13" hidden="1">
      <c r="A185" s="196" t="str">
        <f>HYPERLINK("https://phillipreeve.net/blog/review-zeiss-loxia-planar-250-t/","Zeiss Loxia 50mm F2")</f>
        <v>Zeiss Loxia 50mm F2</v>
      </c>
      <c r="B185" s="60">
        <v>320</v>
      </c>
      <c r="C185" s="67">
        <v>50</v>
      </c>
      <c r="D185" s="64">
        <v>2</v>
      </c>
      <c r="E185" s="194">
        <v>62</v>
      </c>
      <c r="F185" s="211">
        <v>60</v>
      </c>
      <c r="G185" s="328" t="s">
        <v>25</v>
      </c>
      <c r="H185" s="72" t="s">
        <v>131</v>
      </c>
      <c r="I185" s="74">
        <v>0.15</v>
      </c>
      <c r="J185" s="76">
        <v>949</v>
      </c>
      <c r="K185" s="79" t="str">
        <f>HYPERLINK("http://amzn.to/2faVsIu","link*")</f>
        <v>link*</v>
      </c>
      <c r="L185" s="79" t="str">
        <f>HYPERLINK("https://www.bhphotovideo.com/c/product/1080387-REG/zeiss_2103_748_loxia_50mm_f_2_planar.html/BI/19619/KBID/12129/kw/ZE502LFE/DFF/d10-v2-t1-xZE502LFE","link*")</f>
        <v>link*</v>
      </c>
      <c r="M185" s="79" t="str">
        <f>HYPERLINK("http://amzn.to/2wyJAU4","link*")</f>
        <v>link*</v>
      </c>
      <c r="N185" s="79"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O185" s="84">
        <v>45</v>
      </c>
      <c r="P185" s="70" t="s">
        <v>27</v>
      </c>
      <c r="Q185" s="74">
        <v>10</v>
      </c>
      <c r="R185" s="112">
        <v>43561</v>
      </c>
      <c r="S185" s="74" t="s">
        <v>87</v>
      </c>
      <c r="T185" s="125"/>
      <c r="U185" s="77" t="s">
        <v>166</v>
      </c>
    </row>
    <row r="186" spans="1:21" ht="13" hidden="1">
      <c r="A186" s="196" t="str">
        <f>HYPERLINK("https://phillipreeve.net/blog/rolling-review-sony-fe-2-850-macro/","Sony 50mm F/2.8 Macro")</f>
        <v>Sony 50mm F/2.8 Macro</v>
      </c>
      <c r="B186" s="60">
        <v>236</v>
      </c>
      <c r="C186" s="67">
        <v>50</v>
      </c>
      <c r="D186" s="64">
        <v>1.8</v>
      </c>
      <c r="E186" s="194">
        <v>72</v>
      </c>
      <c r="F186" s="211">
        <v>71</v>
      </c>
      <c r="G186" s="74" t="s">
        <v>36</v>
      </c>
      <c r="H186" s="72" t="s">
        <v>147</v>
      </c>
      <c r="I186" s="263">
        <v>1</v>
      </c>
      <c r="J186" s="184">
        <v>499</v>
      </c>
      <c r="K186" s="79" t="str">
        <f>HYPERLINK("http://amzn.to/2v2g0qz","link*")</f>
        <v>link*</v>
      </c>
      <c r="L186" s="79" t="str">
        <f>HYPERLINK("https://www.bhphotovideo.com/c/product/1277527-REG/sony_sel50m28_fe_50mm_f_2_8_macro.html/BI/19619/KBID/12129/kw/SO5028FF/DFF/d10-v2-t1-xSO5028FF","link*")</f>
        <v>link*</v>
      </c>
      <c r="M186" s="79" t="str">
        <f>HYPERLINK("http://amzn.to/2vbknRN","link*")</f>
        <v>link*</v>
      </c>
      <c r="N186" s="79"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O186" s="84">
        <v>16</v>
      </c>
      <c r="P186" s="70" t="s">
        <v>27</v>
      </c>
      <c r="Q186" s="74">
        <v>7</v>
      </c>
      <c r="R186" s="112">
        <v>43654</v>
      </c>
      <c r="S186" s="74" t="s">
        <v>41</v>
      </c>
      <c r="T186" s="74" t="s">
        <v>242</v>
      </c>
    </row>
    <row r="187" spans="1:21" ht="13" hidden="1">
      <c r="A187" s="196" t="str">
        <f>HYPERLINK("https://phillipreeve.net/blog/sony-fe-1-855-za-sonnar-t-review/","Sony ZA 55mm F1.8 Sonnar")</f>
        <v>Sony ZA 55mm F1.8 Sonnar</v>
      </c>
      <c r="B187" s="60">
        <v>281</v>
      </c>
      <c r="C187" s="67">
        <v>55</v>
      </c>
      <c r="D187" s="64">
        <v>1.8</v>
      </c>
      <c r="E187" s="194">
        <v>64</v>
      </c>
      <c r="F187" s="211">
        <v>71</v>
      </c>
      <c r="G187" s="74" t="s">
        <v>36</v>
      </c>
      <c r="H187" s="72" t="s">
        <v>124</v>
      </c>
      <c r="I187" s="74">
        <v>0.14000000000000001</v>
      </c>
      <c r="J187" s="76">
        <v>999</v>
      </c>
      <c r="K187" s="79" t="str">
        <f>HYPERLINK("https://amzn.to/2ywdgEk","link*")</f>
        <v>link*</v>
      </c>
      <c r="L187" s="79" t="str">
        <f>HYPERLINK("https://www.bhphotovideo.com/c/product/1008124-REG/sony_sel55f18z_sonnar_t_fe_55mm.html/BI/19619/KBID/12129/DFF/d10-v21-t1-x466841/SID/EZ","link*")</f>
        <v>link*</v>
      </c>
      <c r="M187" s="113" t="s">
        <v>51</v>
      </c>
      <c r="N187" s="79"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187" s="84">
        <v>50</v>
      </c>
      <c r="P187" s="70" t="s">
        <v>27</v>
      </c>
      <c r="Q187" s="74">
        <v>9</v>
      </c>
      <c r="R187" s="112">
        <v>43592</v>
      </c>
      <c r="S187" s="74" t="s">
        <v>41</v>
      </c>
      <c r="T187" s="74" t="s">
        <v>222</v>
      </c>
    </row>
    <row r="188" spans="1:21" ht="13" hidden="1">
      <c r="A188" s="196" t="str">
        <f>HYPERLINK("https://phillipreeve.net/blog/voigtlander-65-f2-apo-macro-review/","Voigtlander Macro 65mm F2 Apo Lanthar")</f>
        <v>Voigtlander Macro 65mm F2 Apo Lanthar</v>
      </c>
      <c r="B188" s="60">
        <v>635</v>
      </c>
      <c r="C188" s="67">
        <v>65</v>
      </c>
      <c r="D188" s="64">
        <v>2</v>
      </c>
      <c r="E188" s="194">
        <v>78</v>
      </c>
      <c r="F188" s="211">
        <v>91</v>
      </c>
      <c r="G188" s="328" t="s">
        <v>25</v>
      </c>
      <c r="H188" s="72" t="s">
        <v>73</v>
      </c>
      <c r="I188" s="320">
        <v>0.5</v>
      </c>
      <c r="J188" s="76">
        <v>999</v>
      </c>
      <c r="K188" s="79" t="str">
        <f>HYPERLINK("https://amzn.to/2LU48SI","link*")</f>
        <v>link*</v>
      </c>
      <c r="L188" s="79" t="str">
        <f>HYPERLINK("https://www.bhphotovideo.com/c/product/1350400-REG/voigtlander_macro_apo_lanthar_65mm_f2.html/BI/19619/KBID/12129/DFF/d10-v21-t1-x835677/SID/EZ","link*")</f>
        <v>link*</v>
      </c>
      <c r="M188" s="113" t="s">
        <v>51</v>
      </c>
      <c r="N188" s="79"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O188" s="84">
        <v>31</v>
      </c>
      <c r="P188" s="70" t="s">
        <v>27</v>
      </c>
      <c r="Q188" s="74">
        <v>10</v>
      </c>
      <c r="R188" s="112">
        <v>43687</v>
      </c>
      <c r="S188" s="74" t="s">
        <v>29</v>
      </c>
      <c r="T188" s="77" t="s">
        <v>243</v>
      </c>
    </row>
    <row r="189" spans="1:21" ht="13" hidden="1">
      <c r="A189" s="373" t="str">
        <f>HYPERLINK("https://phillipreeve.net/blog/review-zeiss-batis-18mm-2-8/","Zeiss Batis 2.8/18")</f>
        <v>Zeiss Batis 2.8/18</v>
      </c>
      <c r="B189" s="374">
        <v>330</v>
      </c>
      <c r="C189" s="411">
        <v>18</v>
      </c>
      <c r="D189" s="391">
        <v>2.8</v>
      </c>
      <c r="E189" s="412">
        <v>100</v>
      </c>
      <c r="F189" s="413">
        <v>80</v>
      </c>
      <c r="G189" s="364" t="s">
        <v>36</v>
      </c>
      <c r="H189" s="365" t="s">
        <v>80</v>
      </c>
      <c r="I189" s="365">
        <v>0.1</v>
      </c>
      <c r="J189" s="366">
        <v>1499</v>
      </c>
      <c r="K189" s="367" t="str">
        <f>HYPERLINK("https://amzn.to/2SRFBhL","link*")</f>
        <v>link*</v>
      </c>
      <c r="L189" s="367" t="str">
        <f>HYPERLINK("https://www.bhphotovideo.com/c/product/1243591-REG/zeiss_2136_691_batis_18mm_f_2_8_lens.html/BI/19619/KBID/12129/DFF/d10-v21-t1-x727488/SID/EZ","link*")</f>
        <v>link*</v>
      </c>
      <c r="M189" s="367" t="str">
        <f>HYPERLINK("https://amzn.to/334PqNT","link*")</f>
        <v>link*</v>
      </c>
      <c r="N189" s="367"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c r="O189" s="368">
        <v>25</v>
      </c>
      <c r="P189" s="364" t="s">
        <v>27</v>
      </c>
      <c r="Q189" s="365">
        <v>9</v>
      </c>
      <c r="R189" s="369" t="s">
        <v>86</v>
      </c>
      <c r="S189" s="370" t="s">
        <v>87</v>
      </c>
      <c r="T189" s="371">
        <v>42491</v>
      </c>
      <c r="U189" s="372"/>
    </row>
    <row r="190" spans="1:21" ht="13" hidden="1">
      <c r="A190" s="323" t="s">
        <v>168</v>
      </c>
      <c r="B190" s="60">
        <v>1480</v>
      </c>
      <c r="C190" s="67">
        <v>70</v>
      </c>
      <c r="D190" s="64">
        <v>2.8</v>
      </c>
      <c r="E190" s="194">
        <v>88</v>
      </c>
      <c r="F190" s="211">
        <v>200</v>
      </c>
      <c r="G190" s="74" t="s">
        <v>36</v>
      </c>
      <c r="H190" s="72" t="s">
        <v>80</v>
      </c>
      <c r="I190" s="239">
        <v>0.25</v>
      </c>
      <c r="J190" s="76">
        <v>2599</v>
      </c>
      <c r="K190" s="79" t="str">
        <f>HYPERLINK("https://amzn.to/2KbaJGn","link*")</f>
        <v>link*</v>
      </c>
      <c r="L190" s="79" t="str">
        <f>HYPERLINK("https://www.bhphotovideo.com/c/product/1222776-REG/sony_sel70200gm_fe_70_200mm_f_2_8_gm.html/BI/19619/KBID/12129/DFF/d10-v21-t1-x746807/SID/EZ","link*")</f>
        <v>link*</v>
      </c>
      <c r="M190" s="113" t="s">
        <v>51</v>
      </c>
      <c r="N190"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190" s="84">
        <v>96</v>
      </c>
      <c r="P190" s="134" t="s">
        <v>66</v>
      </c>
      <c r="Q190" s="74">
        <v>11</v>
      </c>
      <c r="R190" s="115" t="s">
        <v>169</v>
      </c>
      <c r="S190" s="74" t="s">
        <v>41</v>
      </c>
      <c r="T190" s="74" t="s">
        <v>232</v>
      </c>
    </row>
    <row r="191" spans="1:21" ht="13" hidden="1">
      <c r="A191" s="323" t="s">
        <v>170</v>
      </c>
      <c r="B191" s="60">
        <v>854</v>
      </c>
      <c r="C191" s="67">
        <v>70</v>
      </c>
      <c r="D191" s="64" t="s">
        <v>171</v>
      </c>
      <c r="E191" s="194">
        <v>84</v>
      </c>
      <c r="F191" s="211">
        <v>144</v>
      </c>
      <c r="G191" s="74" t="s">
        <v>36</v>
      </c>
      <c r="H191" s="72" t="s">
        <v>64</v>
      </c>
      <c r="I191" s="201">
        <v>0.31</v>
      </c>
      <c r="J191" s="76">
        <v>1198</v>
      </c>
      <c r="K191" s="79" t="str">
        <f>HYPERLINK("https://amzn.to/2SVN1Ao","link*")</f>
        <v>link*</v>
      </c>
      <c r="L191" s="79" t="str">
        <f>HYPERLINK("https://www.bhphotovideo.com/c/product/1242614-REG/sony_sel70300g_fe_70_300mm_f_4_5_5_6_g.html/BI/19619/KBID/12129/DFF/d10-v21-t1-x722726/SID/EZ","link*")</f>
        <v>link*</v>
      </c>
      <c r="M191" s="113" t="s">
        <v>51</v>
      </c>
      <c r="N191"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191" s="84">
        <v>90</v>
      </c>
      <c r="P191" s="134" t="s">
        <v>66</v>
      </c>
      <c r="Q191" s="74">
        <v>9</v>
      </c>
      <c r="R191" s="343"/>
      <c r="S191" s="74" t="s">
        <v>41</v>
      </c>
      <c r="T191" s="74" t="s">
        <v>214</v>
      </c>
    </row>
    <row r="192" spans="1:21" ht="13" hidden="1">
      <c r="A192" s="196" t="str">
        <f>HYPERLINK("https://phillipreeve.net/blog/review-sony-fe-470-200-g-oss/https://phillipreeve.net/blog/review-sony-fe-470-200-g-oss/","Sony G 4/70-200 OSS")</f>
        <v>Sony G 4/70-200 OSS</v>
      </c>
      <c r="B192" s="60">
        <v>840</v>
      </c>
      <c r="C192" s="67">
        <v>70</v>
      </c>
      <c r="D192" s="64">
        <v>4</v>
      </c>
      <c r="E192" s="194">
        <v>80</v>
      </c>
      <c r="F192" s="211">
        <v>175</v>
      </c>
      <c r="G192" s="74" t="s">
        <v>36</v>
      </c>
      <c r="H192" s="72" t="s">
        <v>64</v>
      </c>
      <c r="I192" s="74">
        <v>0.18</v>
      </c>
      <c r="J192" s="76">
        <v>1498</v>
      </c>
      <c r="K192" s="79" t="str">
        <f>HYPERLINK("http://amzn.to/2fbeX3x","link*")</f>
        <v>link*</v>
      </c>
      <c r="L192" s="79" t="str">
        <f>HYPERLINK("https://www.bhphotovideo.com/c/product/1380865-REG/sony_fe_70_200mm_f_4_g.html/BI/19619/KBID/12129/kw/SO702004F/DFF/d10-v2-t1-xSO702004F","link*")</f>
        <v>link*</v>
      </c>
      <c r="M192" s="79" t="str">
        <f>HYPERLINK("http://amzn.to/2vbFQKj","link*")</f>
        <v>link*</v>
      </c>
      <c r="N192" s="79"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192" s="84">
        <v>100</v>
      </c>
      <c r="P192" s="134" t="s">
        <v>66</v>
      </c>
      <c r="Q192" s="74">
        <v>9</v>
      </c>
      <c r="R192" s="115" t="s">
        <v>173</v>
      </c>
      <c r="S192" s="74" t="s">
        <v>41</v>
      </c>
      <c r="T192" s="74" t="s">
        <v>228</v>
      </c>
    </row>
    <row r="193" spans="1:21" ht="13" hidden="1">
      <c r="A193" s="196" t="str">
        <f>HYPERLINK("https://phillipreeve.net/blog/review-sony-fe-85mm-1-4-gm/","Sony GM 1.4/85")</f>
        <v>Sony GM 1.4/85</v>
      </c>
      <c r="B193" s="60">
        <v>854</v>
      </c>
      <c r="C193" s="67">
        <v>85</v>
      </c>
      <c r="D193" s="64">
        <v>1.4</v>
      </c>
      <c r="E193" s="194">
        <v>84</v>
      </c>
      <c r="F193" s="211">
        <v>108</v>
      </c>
      <c r="G193" s="74" t="s">
        <v>36</v>
      </c>
      <c r="H193" s="72" t="s">
        <v>80</v>
      </c>
      <c r="I193" s="74">
        <v>0.12</v>
      </c>
      <c r="J193" s="76">
        <v>1799</v>
      </c>
      <c r="K193" s="79" t="str">
        <f>HYPERLINK("https://amzn.to/2SZeKAh","link*")</f>
        <v>link*</v>
      </c>
      <c r="L193" s="79" t="str">
        <f>HYPERLINK("https://www.bhphotovideo.com/c/product/1222775-REG/sony_sel85f14gm_fe_85mm_f_1_4_gm.html/BI/19619/KBID/12129/DFF/d10-v21-t1-x707644/SID/EZ","link*")</f>
        <v>link*</v>
      </c>
      <c r="M193" s="113" t="s">
        <v>51</v>
      </c>
      <c r="N193" s="7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193" s="84">
        <v>80</v>
      </c>
      <c r="P193" s="70" t="s">
        <v>27</v>
      </c>
      <c r="Q193" s="74">
        <v>11</v>
      </c>
      <c r="R193" s="112">
        <v>43688</v>
      </c>
      <c r="S193" s="74" t="s">
        <v>41</v>
      </c>
      <c r="T193" s="74" t="s">
        <v>228</v>
      </c>
    </row>
    <row r="194" spans="1:21" ht="13" hidden="1">
      <c r="A194" s="389" t="s">
        <v>88</v>
      </c>
      <c r="B194" s="416">
        <v>145</v>
      </c>
      <c r="C194" s="411">
        <v>18</v>
      </c>
      <c r="D194" s="391">
        <v>2.8</v>
      </c>
      <c r="E194" s="417">
        <v>63.5</v>
      </c>
      <c r="F194" s="418">
        <v>60.5</v>
      </c>
      <c r="G194" s="364" t="s">
        <v>36</v>
      </c>
      <c r="H194" s="365" t="s">
        <v>71</v>
      </c>
      <c r="I194" s="365">
        <v>0.09</v>
      </c>
      <c r="J194" s="366">
        <v>399</v>
      </c>
      <c r="K194" s="370"/>
      <c r="L194" s="367" t="str">
        <f>HYPERLINK("https://www.bhphotovideo.com/c/product/1503295-REG/samyang_syio18af_e_af_18mm_f_2_8_fe.html/BI/19619/KBID/12129/DFF/d10-v21-t1-x985623/SID/EZ","link*")</f>
        <v>link*</v>
      </c>
      <c r="M194" s="370"/>
      <c r="N194" s="370"/>
      <c r="O194" s="368">
        <v>25</v>
      </c>
      <c r="P194" s="364" t="s">
        <v>27</v>
      </c>
      <c r="Q194" s="365">
        <v>7</v>
      </c>
      <c r="R194" s="369" t="s">
        <v>91</v>
      </c>
      <c r="S194" s="370" t="s">
        <v>38</v>
      </c>
      <c r="T194" s="371">
        <v>43723</v>
      </c>
      <c r="U194" s="372"/>
    </row>
    <row r="195" spans="1:21" ht="13" hidden="1">
      <c r="A195" s="323" t="s">
        <v>176</v>
      </c>
      <c r="B195" s="60">
        <v>568</v>
      </c>
      <c r="C195" s="67">
        <v>85</v>
      </c>
      <c r="D195" s="64">
        <v>1.4</v>
      </c>
      <c r="E195" s="194">
        <v>88</v>
      </c>
      <c r="F195" s="211">
        <v>100</v>
      </c>
      <c r="G195" s="74" t="s">
        <v>36</v>
      </c>
      <c r="H195" s="72" t="s">
        <v>80</v>
      </c>
      <c r="I195" s="74">
        <v>0.11</v>
      </c>
      <c r="J195" s="156">
        <v>699</v>
      </c>
      <c r="K195" s="79" t="str">
        <f>HYPERLINK("https://amzn.to/2T0yJ1A","link*")</f>
        <v>link*</v>
      </c>
      <c r="L195" s="79" t="str">
        <f>HYPERLINK("https://www.bhphotovideo.com/c/product/1470654-REG/samyang_syio85af_e_af_85mm_f_1_4_lens.html/BI/19619/KBID/12129/DFF/d10-v21-t1-x955078/SID/EZ","link*")</f>
        <v>link*</v>
      </c>
      <c r="M195" s="113" t="s">
        <v>51</v>
      </c>
      <c r="N195"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195" s="84">
        <v>90</v>
      </c>
      <c r="P195" s="70" t="s">
        <v>27</v>
      </c>
      <c r="Q195" s="74">
        <v>9</v>
      </c>
      <c r="R195" s="112">
        <v>43688</v>
      </c>
      <c r="S195" s="74" t="s">
        <v>41</v>
      </c>
      <c r="T195" s="125"/>
    </row>
    <row r="196" spans="1:21" ht="13" hidden="1">
      <c r="A196" s="196" t="str">
        <f>HYPERLINK("https://phillipreeve.net/blog/review-sony-fe-85-mm-1-8/","Sony FE 85mm f/1.8")</f>
        <v>Sony FE 85mm f/1.8</v>
      </c>
      <c r="B196" s="60">
        <v>371</v>
      </c>
      <c r="C196" s="67">
        <v>85</v>
      </c>
      <c r="D196" s="64">
        <v>1.8</v>
      </c>
      <c r="E196" s="194">
        <v>77</v>
      </c>
      <c r="F196" s="211">
        <v>82</v>
      </c>
      <c r="G196" s="74" t="s">
        <v>36</v>
      </c>
      <c r="H196" s="72" t="s">
        <v>73</v>
      </c>
      <c r="I196" s="74">
        <v>0.13</v>
      </c>
      <c r="J196" s="156">
        <v>599</v>
      </c>
      <c r="K196" s="79" t="str">
        <f>HYPERLINK("https://amzn.to/2YB4RxU","link*")</f>
        <v>link*</v>
      </c>
      <c r="L196" s="79" t="str">
        <f t="shared" ref="L196:L197" si="5">HYPERLINK("https://www.bhphotovideo.com/c/product/1140833-REG/zeiss_2103_751_85mm_f_1_8_batis_short.html/BI/19619/KBID/12129/DFF/d10-v21-t1-x627139/SID/EZ","link*")</f>
        <v>link*</v>
      </c>
      <c r="M196" s="113" t="s">
        <v>51</v>
      </c>
      <c r="N196"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196" s="84">
        <v>80</v>
      </c>
      <c r="P196" s="70" t="s">
        <v>27</v>
      </c>
      <c r="Q196" s="74">
        <v>9</v>
      </c>
      <c r="R196" s="112">
        <v>43686</v>
      </c>
      <c r="S196" s="74" t="s">
        <v>41</v>
      </c>
      <c r="T196" s="74" t="s">
        <v>233</v>
      </c>
    </row>
    <row r="197" spans="1:21" ht="13" hidden="1">
      <c r="A197" s="196" t="str">
        <f>HYPERLINK("https://phillipreeve.net/blog/zeiss-batis-sonnar-t-85mm-f1-8-a-review/","Zeiss Batis 1.8/85")</f>
        <v>Zeiss Batis 1.8/85</v>
      </c>
      <c r="B197" s="60">
        <v>475</v>
      </c>
      <c r="C197" s="67">
        <v>85</v>
      </c>
      <c r="D197" s="64">
        <v>1.8</v>
      </c>
      <c r="E197" s="194">
        <v>92</v>
      </c>
      <c r="F197" s="211">
        <v>81</v>
      </c>
      <c r="G197" s="74" t="s">
        <v>36</v>
      </c>
      <c r="H197" s="72" t="s">
        <v>73</v>
      </c>
      <c r="I197" s="74">
        <v>0.13</v>
      </c>
      <c r="J197" s="76">
        <v>1199</v>
      </c>
      <c r="K197" s="79" t="str">
        <f>HYPERLINK("https://amzn.to/2T8oWqt","link*")</f>
        <v>link*</v>
      </c>
      <c r="L197" s="79" t="str">
        <f t="shared" si="5"/>
        <v>link*</v>
      </c>
      <c r="M197" s="113" t="s">
        <v>51</v>
      </c>
      <c r="N197"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197" s="84">
        <v>80</v>
      </c>
      <c r="P197" s="134" t="s">
        <v>66</v>
      </c>
      <c r="Q197" s="74">
        <v>9</v>
      </c>
      <c r="R197" s="112">
        <v>43688</v>
      </c>
      <c r="S197" s="74" t="s">
        <v>87</v>
      </c>
      <c r="T197" s="125"/>
    </row>
    <row r="198" spans="1:21" ht="13" hidden="1">
      <c r="A198" s="323" t="s">
        <v>197</v>
      </c>
      <c r="B198" s="60">
        <v>665</v>
      </c>
      <c r="C198" s="67">
        <v>85</v>
      </c>
      <c r="D198" s="64">
        <v>1.8</v>
      </c>
      <c r="E198" s="194">
        <v>79</v>
      </c>
      <c r="F198" s="211">
        <v>92</v>
      </c>
      <c r="G198" s="328" t="s">
        <v>25</v>
      </c>
      <c r="H198" s="72" t="s">
        <v>64</v>
      </c>
      <c r="I198" s="74">
        <v>0.13</v>
      </c>
      <c r="J198" s="76">
        <v>299</v>
      </c>
      <c r="K198" s="79" t="str">
        <f>HYPERLINK("https://amzn.to/2LVVOBV","link*")</f>
        <v>link*</v>
      </c>
      <c r="L198" s="79" t="str">
        <f>HYPERLINK("https://www.bhphotovideo.com/c/product/1469189-REG/viltrox_pfu_rbmh_85mm_f1_8_e_mount_85mm_f_1_8_for_sony.html/BI/19619/KBID/12129/DFF/d10-v21-t1-x954301/SID/EZ","link*")</f>
        <v>link*</v>
      </c>
      <c r="M198" s="113" t="s">
        <v>51</v>
      </c>
      <c r="N198" s="79"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O198" s="84">
        <v>80</v>
      </c>
      <c r="P198" s="70" t="s">
        <v>27</v>
      </c>
      <c r="Q198" s="74">
        <v>9</v>
      </c>
      <c r="R198" s="112">
        <v>43656</v>
      </c>
      <c r="S198" s="74" t="s">
        <v>106</v>
      </c>
      <c r="T198" s="125"/>
      <c r="U198" s="77" t="s">
        <v>200</v>
      </c>
    </row>
    <row r="199" spans="1:21" ht="13" hidden="1">
      <c r="A199" s="323" t="s">
        <v>177</v>
      </c>
      <c r="B199" s="60">
        <v>636</v>
      </c>
      <c r="C199" s="67">
        <v>85</v>
      </c>
      <c r="D199" s="64">
        <v>1.8</v>
      </c>
      <c r="E199" s="194">
        <v>79</v>
      </c>
      <c r="F199" s="211">
        <v>92</v>
      </c>
      <c r="G199" s="74" t="s">
        <v>36</v>
      </c>
      <c r="H199" s="72" t="s">
        <v>64</v>
      </c>
      <c r="I199" s="74">
        <v>0.13</v>
      </c>
      <c r="J199" s="76">
        <v>379</v>
      </c>
      <c r="K199" s="79" t="str">
        <f>HYPERLINK("https://amzn.to/2SZfd5v","link*")</f>
        <v>link*</v>
      </c>
      <c r="L199" s="79" t="str">
        <f>HYPERLINK("https://www.bhphotovideo.com/c/product/1470585-REG/viltrox_pfu_rbmh_85mm_f1_8_stm_e_mount_85mm_f_1_8_lens_for.html/BI/19619/KBID/12129/DFF/d10-v21-t1-x955239/SID/EZ","link*")</f>
        <v>link*</v>
      </c>
      <c r="M199" s="113" t="s">
        <v>51</v>
      </c>
      <c r="N199"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199" s="84">
        <v>80</v>
      </c>
      <c r="P199" s="70" t="s">
        <v>27</v>
      </c>
      <c r="Q199" s="74">
        <v>9</v>
      </c>
      <c r="R199" s="112">
        <v>43656</v>
      </c>
      <c r="S199" s="74" t="s">
        <v>106</v>
      </c>
      <c r="T199" s="125"/>
    </row>
    <row r="200" spans="1:21" ht="13" hidden="1">
      <c r="A200" s="196" t="str">
        <f>HYPERLINK("https://phillipreeve.net/blog/rolling-review-zeiss-loxia-85mm-2-4/","Zeiss Loxia 2.4/85")</f>
        <v>Zeiss Loxia 2.4/85</v>
      </c>
      <c r="B200" s="60">
        <v>594</v>
      </c>
      <c r="C200" s="67">
        <v>85</v>
      </c>
      <c r="D200" s="64">
        <v>2.4</v>
      </c>
      <c r="E200" s="194">
        <v>63</v>
      </c>
      <c r="F200" s="211">
        <v>95</v>
      </c>
      <c r="G200" s="328" t="s">
        <v>25</v>
      </c>
      <c r="H200" s="72" t="s">
        <v>131</v>
      </c>
      <c r="I200" s="74">
        <v>0.14000000000000001</v>
      </c>
      <c r="J200" s="76">
        <v>1399</v>
      </c>
      <c r="K200" s="79" t="str">
        <f>HYPERLINK("https://amzn.to/2SY4PLd","link*")</f>
        <v>link*</v>
      </c>
      <c r="L200" s="79" t="str">
        <f>HYPERLINK("https://www.bhphotovideo.com/c/product/1282150-REG/zeiss_2162_636_loxia_85mm_f_2_4_lens.html/BI/19619/KBID/12129/DFF/d10-v21-t1-x762761/SID/EZ","link*")</f>
        <v>link*</v>
      </c>
      <c r="M200" s="113" t="s">
        <v>51</v>
      </c>
      <c r="N200" s="79"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O200" s="84">
        <v>80</v>
      </c>
      <c r="P200" s="70" t="s">
        <v>27</v>
      </c>
      <c r="Q200" s="74">
        <v>10</v>
      </c>
      <c r="R200" s="112">
        <v>43653</v>
      </c>
      <c r="S200" s="74" t="s">
        <v>87</v>
      </c>
      <c r="T200" s="125"/>
    </row>
    <row r="201" spans="1:21" ht="13" hidden="1">
      <c r="A201" s="196" t="str">
        <f>HYPERLINK("https://phillipreeve.net/blog/review-sony-fe-90mm-f2-8-macro-oss-one-of-sonys-finest/","Sony 2.8/90 G OSS")</f>
        <v>Sony 2.8/90 G OSS</v>
      </c>
      <c r="B201" s="60">
        <v>602</v>
      </c>
      <c r="C201" s="67">
        <v>90</v>
      </c>
      <c r="D201" s="64">
        <v>2.8</v>
      </c>
      <c r="E201" s="194">
        <v>79</v>
      </c>
      <c r="F201" s="211">
        <v>131</v>
      </c>
      <c r="G201" s="74" t="s">
        <v>36</v>
      </c>
      <c r="H201" s="72" t="s">
        <v>101</v>
      </c>
      <c r="I201" s="263">
        <v>1</v>
      </c>
      <c r="J201" s="76">
        <v>1099</v>
      </c>
      <c r="K201" s="79" t="str">
        <f>HYPERLINK("http://amzn.to/2fbeX3x","link*")</f>
        <v>link*</v>
      </c>
      <c r="L201" s="79" t="str">
        <f>HYPERLINK("https://www.bhphotovideo.com/c/product/1380868-REG/sony_fe_90mm_f_2_8_macro.html/BI/19619/KBID/12129/kw/SO9028F/DFF/d10-v2-t1-xSO9028F","link*")</f>
        <v>link*</v>
      </c>
      <c r="M201" s="79" t="str">
        <f>HYPERLINK("http://amzn.to/2vvvHcw","link*")</f>
        <v>link*</v>
      </c>
      <c r="N201"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201" s="84">
        <v>28</v>
      </c>
      <c r="P201" s="134" t="s">
        <v>66</v>
      </c>
      <c r="Q201" s="74">
        <v>9</v>
      </c>
      <c r="R201" s="112">
        <v>43784</v>
      </c>
      <c r="S201" s="74" t="s">
        <v>41</v>
      </c>
      <c r="T201" s="74" t="s">
        <v>219</v>
      </c>
    </row>
    <row r="202" spans="1:21" ht="13" hidden="1">
      <c r="A202" s="196" t="str">
        <f>HYPERLINK("https://phillipreeve.net/blog/review-sony-fe-100-f-2-8-stf-gm-oss-lens/","Sony GM 2.8/100 STF OSS")</f>
        <v>Sony GM 2.8/100 STF OSS</v>
      </c>
      <c r="B202" s="60">
        <v>700</v>
      </c>
      <c r="C202" s="67">
        <v>100</v>
      </c>
      <c r="D202" s="64">
        <v>2.8</v>
      </c>
      <c r="E202" s="194">
        <v>85</v>
      </c>
      <c r="F202" s="211">
        <v>118</v>
      </c>
      <c r="G202" s="74" t="s">
        <v>36</v>
      </c>
      <c r="H202" s="72" t="s">
        <v>64</v>
      </c>
      <c r="I202" s="239">
        <v>0.25</v>
      </c>
      <c r="J202" s="76">
        <v>1499</v>
      </c>
      <c r="K202" s="79" t="str">
        <f>HYPERLINK("https://amzn.to/2YD8rn4","link*")</f>
        <v>link*</v>
      </c>
      <c r="L202" s="79" t="str">
        <f>HYPERLINK("https://www.bhphotovideo.com/c/product/1317561-REG/sony_sel100f28gm_fe_100mm_f_2_8_stf.html/BI/19619/KBID/12129/DFF/d10-v21-t1-x795192/SID/EZ","link*")</f>
        <v>link*</v>
      </c>
      <c r="M202" s="113" t="s">
        <v>51</v>
      </c>
      <c r="N202" s="7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202" s="84">
        <v>57</v>
      </c>
      <c r="P202" s="134" t="s">
        <v>66</v>
      </c>
      <c r="Q202" s="74">
        <v>11</v>
      </c>
      <c r="R202" s="112">
        <v>43752</v>
      </c>
      <c r="S202" s="74" t="s">
        <v>41</v>
      </c>
      <c r="T202" s="74" t="s">
        <v>233</v>
      </c>
      <c r="U202" s="77" t="s">
        <v>178</v>
      </c>
    </row>
    <row r="203" spans="1:21" ht="13" hidden="1">
      <c r="A203" s="196" t="str">
        <f>HYPERLINK("https://phillipreeve.net/blog/review-tokina-firin-100mm-f2-8-fe-macro/","Tokina Firin 2.8/100 Macro")</f>
        <v>Tokina Firin 2.8/100 Macro</v>
      </c>
      <c r="B203" s="60">
        <v>570</v>
      </c>
      <c r="C203" s="67">
        <v>100</v>
      </c>
      <c r="D203" s="64">
        <v>2.8</v>
      </c>
      <c r="E203" s="194">
        <v>74</v>
      </c>
      <c r="F203" s="216">
        <v>123</v>
      </c>
      <c r="G203" s="74" t="s">
        <v>36</v>
      </c>
      <c r="H203" s="72" t="s">
        <v>147</v>
      </c>
      <c r="I203" s="263">
        <v>1</v>
      </c>
      <c r="J203" s="184">
        <v>599</v>
      </c>
      <c r="K203" s="79" t="str">
        <f>HYPERLINK("http://amzn.to/2fbeX3x","link*")</f>
        <v>link*</v>
      </c>
      <c r="L203" s="79" t="str">
        <f>HYPERLINK("https://www.bhphotovideo.com/c/product/1473390-REG/tokina_frn_afm100fxse_firin_100mm_f_2_8_fe.html/BI/19619/KBID/12129/kw/TO100AF/DFF/d10-v2-t1-xTO100AF","link*")</f>
        <v>link*</v>
      </c>
      <c r="M203" s="79"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N203" s="79"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203" s="84">
        <v>30</v>
      </c>
      <c r="P203" s="70" t="s">
        <v>27</v>
      </c>
      <c r="Q203" s="74">
        <v>9</v>
      </c>
      <c r="R203" s="112">
        <v>43686</v>
      </c>
      <c r="S203" s="74" t="s">
        <v>103</v>
      </c>
      <c r="T203" s="74" t="s">
        <v>217</v>
      </c>
      <c r="U203" s="77" t="s">
        <v>48</v>
      </c>
    </row>
    <row r="204" spans="1:21" ht="13" hidden="1">
      <c r="A204" s="323" t="s">
        <v>179</v>
      </c>
      <c r="B204" s="60">
        <v>1395</v>
      </c>
      <c r="C204" s="67">
        <v>100</v>
      </c>
      <c r="D204" s="64" t="s">
        <v>171</v>
      </c>
      <c r="E204" s="194">
        <v>94</v>
      </c>
      <c r="F204" s="216">
        <v>205</v>
      </c>
      <c r="G204" s="74" t="s">
        <v>36</v>
      </c>
      <c r="H204" s="72" t="s">
        <v>80</v>
      </c>
      <c r="I204" s="239">
        <v>0.35</v>
      </c>
      <c r="J204" s="76">
        <v>2499</v>
      </c>
      <c r="K204" s="79" t="str">
        <f>HYPERLINK("https://amzn.to/2SZ0aZO","link*")</f>
        <v>link*</v>
      </c>
      <c r="L204" s="79" t="str">
        <f>HYPERLINK("https://www.bhphotovideo.com/c/product/1333230-REG/sony_sel100400gm_fe_100_400mm_f_4_5_5_6_gm.html/BI/19619/KBID/12129/DFF/d10-v21-t1-x817745/SID/EZ","link*")</f>
        <v>link*</v>
      </c>
      <c r="M204" s="113" t="s">
        <v>51</v>
      </c>
      <c r="N204" s="79"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204" s="84">
        <v>98</v>
      </c>
      <c r="P204" s="134" t="s">
        <v>66</v>
      </c>
      <c r="Q204" s="74">
        <v>11</v>
      </c>
      <c r="R204" s="115" t="s">
        <v>180</v>
      </c>
      <c r="S204" s="74" t="s">
        <v>41</v>
      </c>
      <c r="T204" s="74" t="s">
        <v>234</v>
      </c>
    </row>
    <row r="205" spans="1:21" ht="13">
      <c r="A205" s="358" t="s">
        <v>92</v>
      </c>
      <c r="B205" s="383">
        <v>950</v>
      </c>
      <c r="C205" s="420">
        <v>20</v>
      </c>
      <c r="D205" s="421">
        <v>1.4</v>
      </c>
      <c r="E205" s="422">
        <v>91</v>
      </c>
      <c r="F205" s="423">
        <v>130</v>
      </c>
      <c r="G205" s="370" t="s">
        <v>36</v>
      </c>
      <c r="H205" s="365" t="s">
        <v>26</v>
      </c>
      <c r="I205" s="365">
        <v>0.14000000000000001</v>
      </c>
      <c r="J205" s="366">
        <v>899</v>
      </c>
      <c r="K205" s="367" t="str">
        <f>HYPERLINK("https://amzn.to/2K4J7nh","link*")</f>
        <v>link*</v>
      </c>
      <c r="L205" s="367" t="str">
        <f>HYPERLINK("https://amzn.to/31hxv55","link*")</f>
        <v>link*</v>
      </c>
      <c r="M205" s="367" t="str">
        <f>HYPERLINK("https://amzn.to/2Wy0d3F","link*")</f>
        <v>link*</v>
      </c>
      <c r="N205" s="367"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O205" s="368">
        <v>28</v>
      </c>
      <c r="P205" s="364" t="s">
        <v>27</v>
      </c>
      <c r="Q205" s="365">
        <v>9</v>
      </c>
      <c r="R205" s="388">
        <v>43784</v>
      </c>
      <c r="S205" s="370" t="s">
        <v>47</v>
      </c>
      <c r="T205" s="371">
        <v>43221</v>
      </c>
      <c r="U205" s="372" t="s">
        <v>48</v>
      </c>
    </row>
    <row r="206" spans="1:21" ht="13" hidden="1">
      <c r="A206" s="196" t="str">
        <f>HYPERLINK("https://phillipreeve.net/blog/voigtlander-110mm-f2-5-apo-review/","Voigtlander 110mm F2.5 APO Macro")</f>
        <v>Voigtlander 110mm F2.5 APO Macro</v>
      </c>
      <c r="B206" s="60">
        <v>771</v>
      </c>
      <c r="C206" s="67">
        <v>110</v>
      </c>
      <c r="D206" s="64">
        <v>2.5</v>
      </c>
      <c r="E206" s="194">
        <v>78</v>
      </c>
      <c r="F206" s="211">
        <v>100</v>
      </c>
      <c r="G206" s="328" t="s">
        <v>25</v>
      </c>
      <c r="H206" s="72" t="s">
        <v>71</v>
      </c>
      <c r="I206" s="263">
        <v>1</v>
      </c>
      <c r="J206" s="76">
        <v>1099</v>
      </c>
      <c r="K206" s="79" t="str">
        <f>HYPERLINK("https://amzn.to/2SXYsrm","link*")</f>
        <v>link*</v>
      </c>
      <c r="L206" s="79" t="str">
        <f>HYPERLINK("https://www.bhphotovideo.com/c/product/1418780-REG/voigtlander_ba349a_macro_apo_lanthar_110mm_f_2_5.html/BI/19619/KBID/12129/kw/VO11025/DFF/d10-v2-t1-xVO11025","link*")</f>
        <v>link*</v>
      </c>
      <c r="M206" s="113" t="s">
        <v>51</v>
      </c>
      <c r="N206" s="79"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O206" s="84">
        <v>35</v>
      </c>
      <c r="P206" s="70" t="s">
        <v>27</v>
      </c>
      <c r="Q206" s="74">
        <v>10</v>
      </c>
      <c r="R206" s="112">
        <v>43813</v>
      </c>
      <c r="S206" s="74" t="s">
        <v>29</v>
      </c>
      <c r="T206" s="74" t="s">
        <v>244</v>
      </c>
    </row>
    <row r="207" spans="1:21" ht="13" hidden="1">
      <c r="A207" s="196" t="str">
        <f>HYPERLINK("https://phillipreeve.net/blog/review-sony-fe-135mm-f1-8-gm/","Sony 1.8/135 GM")</f>
        <v>Sony 1.8/135 GM</v>
      </c>
      <c r="B207" s="60">
        <v>950</v>
      </c>
      <c r="C207" s="67">
        <v>135</v>
      </c>
      <c r="D207" s="64">
        <v>1.8</v>
      </c>
      <c r="E207" s="194">
        <v>90</v>
      </c>
      <c r="F207" s="211">
        <v>127</v>
      </c>
      <c r="G207" s="74" t="s">
        <v>36</v>
      </c>
      <c r="H207" s="236" t="s">
        <v>68</v>
      </c>
      <c r="I207" s="239">
        <v>0.25</v>
      </c>
      <c r="J207" s="76">
        <v>1899</v>
      </c>
      <c r="K207" s="79" t="str">
        <f>HYPERLINK("https://amzn.to/2WtonMJ","link*")</f>
        <v>link*</v>
      </c>
      <c r="L207" s="79" t="str">
        <f>HYPERLINK("https://www.bhphotovideo.com/c/product/1393495-REG/sigma_135mm_f_1_8_dg_hsm.html/BI/19619/KBID/12129/kw/SI13518SO/DFF/d10-v2-t1-xSI13518SO","link*")</f>
        <v>link*</v>
      </c>
      <c r="M207" s="79" t="str">
        <f>HYPERLINK("https://amzn.to/2Z9KKDE","link*")</f>
        <v>link*</v>
      </c>
      <c r="N207" s="7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207" s="84">
        <v>70</v>
      </c>
      <c r="P207" s="70" t="s">
        <v>27</v>
      </c>
      <c r="Q207" s="74">
        <v>11</v>
      </c>
      <c r="R207" s="112">
        <v>43751</v>
      </c>
      <c r="S207" s="74" t="s">
        <v>41</v>
      </c>
      <c r="T207" s="125"/>
    </row>
    <row r="208" spans="1:21" ht="13" hidden="1">
      <c r="A208" s="424" t="s">
        <v>104</v>
      </c>
      <c r="B208" s="390">
        <v>775</v>
      </c>
      <c r="C208" s="420">
        <v>20</v>
      </c>
      <c r="D208" s="385">
        <v>1.8</v>
      </c>
      <c r="E208" s="425">
        <v>77</v>
      </c>
      <c r="F208" s="426">
        <v>102</v>
      </c>
      <c r="G208" s="427" t="s">
        <v>25</v>
      </c>
      <c r="H208" s="365" t="s">
        <v>68</v>
      </c>
      <c r="I208" s="365">
        <v>0.12</v>
      </c>
      <c r="J208" s="366">
        <v>486</v>
      </c>
      <c r="K208" s="367" t="str">
        <f>HYPERLINK("https://amzn.to/2LRRbJ5","link*")</f>
        <v>link*</v>
      </c>
      <c r="L208" s="367" t="str">
        <f>HYPERLINK("https://www.bhphotovideo.com/c/product/1469187-REG/viltrox_pfu_rbmh_20mm_f1_8_asph_e_mount_20mm_f_1_8_for_sony.html/BI/19619/KBID/12129/DFF/d10-v21-t1-x954299/SID/EZ","link*")</f>
        <v>link*</v>
      </c>
      <c r="M208" s="367" t="str">
        <f>HYPERLINK("https://amzn.to/2GL8iYV","link*")</f>
        <v>link*</v>
      </c>
      <c r="N208" s="367"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c r="O208" s="368">
        <v>25</v>
      </c>
      <c r="P208" s="364" t="s">
        <v>27</v>
      </c>
      <c r="Q208" s="365">
        <v>14</v>
      </c>
      <c r="R208" s="388">
        <v>43720</v>
      </c>
      <c r="S208" s="370" t="s">
        <v>106</v>
      </c>
      <c r="T208" s="371">
        <v>43586</v>
      </c>
      <c r="U208" s="372"/>
    </row>
    <row r="209" spans="1:20" ht="13" hidden="1">
      <c r="A209" s="196" t="str">
        <f>HYPERLINK("https://phillipreeve.net/blog/zeiss-batis-apo-sonnar-t-135mm-f2-8/","Zeiss 2.8/135 APO")</f>
        <v>Zeiss 2.8/135 APO</v>
      </c>
      <c r="B209" s="60">
        <v>614</v>
      </c>
      <c r="C209" s="67">
        <v>135</v>
      </c>
      <c r="D209" s="64">
        <v>2.8</v>
      </c>
      <c r="E209" s="194">
        <v>99</v>
      </c>
      <c r="F209" s="211">
        <v>120</v>
      </c>
      <c r="G209" s="74" t="s">
        <v>36</v>
      </c>
      <c r="H209" s="72" t="s">
        <v>73</v>
      </c>
      <c r="I209" s="74">
        <v>0.19</v>
      </c>
      <c r="J209" s="76">
        <v>1699</v>
      </c>
      <c r="K209" s="79" t="str">
        <f>HYPERLINK("https://amzn.to/319GJA4","link*")</f>
        <v>link*</v>
      </c>
      <c r="L209" s="79" t="str">
        <f>HYPERLINK("https://www.bhphotovideo.com/c/product/1330083-REG/zeiss_2136_695_batis_135mm_f_2_8_lens.html/BI/19619/KBID/12129/DFF/d10-v21-t1-x814884/SID/EZ","link*")</f>
        <v>link*</v>
      </c>
      <c r="M209" s="113" t="s">
        <v>51</v>
      </c>
      <c r="N209" s="79"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209" s="84">
        <v>87</v>
      </c>
      <c r="P209" s="134" t="s">
        <v>66</v>
      </c>
      <c r="Q209" s="74">
        <v>9</v>
      </c>
      <c r="R209" s="112">
        <v>43783</v>
      </c>
      <c r="S209" s="74" t="s">
        <v>87</v>
      </c>
      <c r="T209" s="125"/>
    </row>
    <row r="210" spans="1:20" ht="13" hidden="1">
      <c r="A210" s="337" t="s">
        <v>186</v>
      </c>
      <c r="B210" s="60">
        <v>2215</v>
      </c>
      <c r="C210" s="67">
        <v>200</v>
      </c>
      <c r="D210" s="64" t="s">
        <v>187</v>
      </c>
      <c r="E210" s="194">
        <v>112</v>
      </c>
      <c r="F210" s="211">
        <v>318</v>
      </c>
      <c r="G210" s="74" t="s">
        <v>36</v>
      </c>
      <c r="H210" s="244" t="s">
        <v>152</v>
      </c>
      <c r="I210" s="320">
        <v>0.66</v>
      </c>
      <c r="J210" s="76">
        <v>1999</v>
      </c>
      <c r="K210" s="113"/>
      <c r="L210" s="79" t="str">
        <f>HYPERLINK("https://www.bhphotovideo.com/c/product/1485540-REG/sony_sel200600g_fe_200_600mm_f_5_6_6_3_g.html/BI/19619/KBID/12129/DFF/d10-v21-t1-x968882/SID/EZ","link*")</f>
        <v>link*</v>
      </c>
      <c r="M210" s="113" t="s">
        <v>51</v>
      </c>
      <c r="N210" s="79"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O210" s="84">
        <v>240</v>
      </c>
      <c r="P210" s="134" t="s">
        <v>66</v>
      </c>
      <c r="Q210" s="74">
        <v>11</v>
      </c>
      <c r="R210" s="115" t="s">
        <v>188</v>
      </c>
      <c r="S210" s="74" t="s">
        <v>41</v>
      </c>
      <c r="T210" s="74" t="s">
        <v>216</v>
      </c>
    </row>
    <row r="211" spans="1:20" ht="13" hidden="1">
      <c r="A211" s="323" t="s">
        <v>189</v>
      </c>
      <c r="B211" s="60">
        <v>2895</v>
      </c>
      <c r="C211" s="67">
        <v>400</v>
      </c>
      <c r="D211" s="64">
        <v>2.8</v>
      </c>
      <c r="E211" s="194">
        <v>158</v>
      </c>
      <c r="F211" s="211">
        <v>359</v>
      </c>
      <c r="G211" s="74" t="s">
        <v>36</v>
      </c>
      <c r="H211" s="72" t="s">
        <v>190</v>
      </c>
      <c r="I211" s="320">
        <v>0.52</v>
      </c>
      <c r="J211" s="76">
        <v>11999</v>
      </c>
      <c r="K211" s="113"/>
      <c r="L211" s="79" t="str">
        <f>HYPERLINK("https://www.bhphotovideo.com/c/product/1369634-REG/sony_fe_400mm_f_2_8_gm.html/BI/19619/KBID/12129/DFF/d10-v21-t1-x905722/SID/EZ","link*")</f>
        <v>link*</v>
      </c>
      <c r="M211" s="113" t="s">
        <v>51</v>
      </c>
      <c r="N211" s="79"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O211" s="84">
        <v>270</v>
      </c>
      <c r="P211" s="134" t="s">
        <v>66</v>
      </c>
      <c r="Q211" s="74">
        <v>11</v>
      </c>
      <c r="R211" s="115" t="s">
        <v>191</v>
      </c>
      <c r="S211" s="74" t="s">
        <v>41</v>
      </c>
      <c r="T211" s="74" t="s">
        <v>213</v>
      </c>
    </row>
    <row r="212" spans="1:20" ht="13" hidden="1">
      <c r="A212" s="401" t="s">
        <v>192</v>
      </c>
      <c r="B212" s="282">
        <v>3040</v>
      </c>
      <c r="C212" s="402">
        <v>600</v>
      </c>
      <c r="D212" s="284">
        <v>4</v>
      </c>
      <c r="E212" s="194">
        <v>164</v>
      </c>
      <c r="F212" s="211">
        <v>449</v>
      </c>
      <c r="G212" s="285" t="s">
        <v>36</v>
      </c>
      <c r="H212" s="286" t="s">
        <v>26</v>
      </c>
      <c r="I212" s="285">
        <v>0.14000000000000001</v>
      </c>
      <c r="J212" s="203" t="s">
        <v>193</v>
      </c>
      <c r="K212" s="113"/>
      <c r="L212" s="79" t="str">
        <f>HYPERLINK("https://www.bhphotovideo.com/c/product/1485539-REG/sony_sel600f40gm_fe_600mm_f_4_gm.html/BI/19619/KBID/12129/DFF/d10-v21-t1-x968881/SID/EZ","link*")</f>
        <v>link*</v>
      </c>
      <c r="M212" s="113" t="s">
        <v>51</v>
      </c>
      <c r="N212" s="7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212" s="287">
        <v>451</v>
      </c>
      <c r="P212" s="134" t="s">
        <v>66</v>
      </c>
      <c r="Q212" s="285">
        <v>11</v>
      </c>
      <c r="R212" s="288" t="s">
        <v>195</v>
      </c>
      <c r="S212" s="285" t="s">
        <v>41</v>
      </c>
      <c r="T212" s="285" t="s">
        <v>235</v>
      </c>
    </row>
    <row r="213" spans="1:20" ht="13" hidden="1">
      <c r="A213" s="207"/>
      <c r="B213" s="208"/>
      <c r="C213" s="209"/>
      <c r="D213" s="210"/>
      <c r="E213" s="194"/>
      <c r="F213" s="211"/>
      <c r="G213" s="77"/>
      <c r="H213" s="212"/>
      <c r="I213" s="77"/>
      <c r="J213" s="213"/>
      <c r="K213" s="214"/>
      <c r="L213" s="214"/>
      <c r="M213" s="214"/>
      <c r="N213" s="214"/>
      <c r="O213" s="215"/>
      <c r="P213" s="77"/>
      <c r="Q213" s="77"/>
      <c r="R213" s="77"/>
      <c r="S213" s="77"/>
      <c r="T213" s="77"/>
    </row>
    <row r="214" spans="1:20" ht="13" hidden="1">
      <c r="A214" s="207"/>
      <c r="B214" s="208"/>
      <c r="C214" s="209"/>
      <c r="D214" s="210"/>
      <c r="E214" s="194"/>
      <c r="F214" s="211"/>
      <c r="G214" s="77"/>
      <c r="H214" s="212"/>
      <c r="I214" s="77"/>
      <c r="J214" s="213"/>
      <c r="K214" s="214"/>
      <c r="L214" s="214"/>
      <c r="M214" s="214"/>
      <c r="N214" s="214"/>
      <c r="O214" s="215"/>
      <c r="P214" s="77"/>
      <c r="Q214" s="77"/>
      <c r="R214" s="77"/>
      <c r="S214" s="77"/>
      <c r="T214" s="77"/>
    </row>
    <row r="215" spans="1:20" ht="13" hidden="1">
      <c r="A215" s="207"/>
      <c r="B215" s="208"/>
      <c r="C215" s="209"/>
      <c r="D215" s="210"/>
      <c r="E215" s="194"/>
      <c r="F215" s="211"/>
      <c r="G215" s="77"/>
      <c r="H215" s="212"/>
      <c r="I215" s="77"/>
      <c r="J215" s="213"/>
      <c r="K215" s="214"/>
      <c r="L215" s="214"/>
      <c r="M215" s="214"/>
      <c r="N215" s="214"/>
      <c r="O215" s="215"/>
      <c r="P215" s="77"/>
      <c r="Q215" s="77"/>
      <c r="R215" s="77"/>
      <c r="S215" s="77"/>
      <c r="T215" s="77"/>
    </row>
    <row r="216" spans="1:20" ht="13" hidden="1">
      <c r="A216" s="207"/>
      <c r="B216" s="208"/>
      <c r="C216" s="209"/>
      <c r="D216" s="210"/>
      <c r="E216" s="194"/>
      <c r="F216" s="211"/>
      <c r="G216" s="77"/>
      <c r="H216" s="212"/>
      <c r="I216" s="77"/>
      <c r="J216" s="213"/>
      <c r="K216" s="214"/>
      <c r="L216" s="214"/>
      <c r="M216" s="214"/>
      <c r="N216" s="214"/>
      <c r="O216" s="215"/>
      <c r="P216" s="77"/>
      <c r="Q216" s="77"/>
      <c r="R216" s="77"/>
      <c r="S216" s="77"/>
      <c r="T216" s="77"/>
    </row>
    <row r="217" spans="1:20" ht="13" hidden="1">
      <c r="A217" s="207"/>
      <c r="B217" s="208"/>
      <c r="C217" s="209"/>
      <c r="D217" s="210"/>
      <c r="E217" s="194"/>
      <c r="F217" s="216"/>
      <c r="G217" s="77"/>
      <c r="H217" s="212"/>
      <c r="I217" s="77"/>
      <c r="J217" s="213"/>
      <c r="K217" s="214"/>
      <c r="L217" s="214"/>
      <c r="M217" s="214"/>
      <c r="N217" s="214"/>
      <c r="O217" s="215"/>
      <c r="P217" s="77"/>
      <c r="Q217" s="77"/>
      <c r="R217" s="77"/>
      <c r="S217" s="77"/>
      <c r="T217" s="77"/>
    </row>
    <row r="218" spans="1:20" ht="13" hidden="1">
      <c r="A218" s="207"/>
      <c r="B218" s="208"/>
      <c r="C218" s="209"/>
      <c r="D218" s="210"/>
      <c r="E218" s="194"/>
      <c r="F218" s="211"/>
      <c r="G218" s="77"/>
      <c r="H218" s="212"/>
      <c r="I218" s="77"/>
      <c r="J218" s="213"/>
      <c r="K218" s="214"/>
      <c r="L218" s="214"/>
      <c r="M218" s="214"/>
      <c r="N218" s="214"/>
      <c r="O218" s="215"/>
      <c r="P218" s="77"/>
      <c r="Q218" s="77"/>
      <c r="R218" s="77"/>
      <c r="S218" s="77"/>
      <c r="T218" s="77"/>
    </row>
    <row r="219" spans="1:20" ht="13" hidden="1">
      <c r="A219" s="207"/>
      <c r="B219" s="208"/>
      <c r="C219" s="209"/>
      <c r="D219" s="210"/>
      <c r="E219" s="194"/>
      <c r="F219" s="211"/>
      <c r="G219" s="77"/>
      <c r="H219" s="212"/>
      <c r="I219" s="77"/>
      <c r="J219" s="213"/>
      <c r="K219" s="214"/>
      <c r="L219" s="214"/>
      <c r="M219" s="214"/>
      <c r="N219" s="214"/>
      <c r="O219" s="215"/>
      <c r="P219" s="77"/>
      <c r="Q219" s="77"/>
      <c r="R219" s="77"/>
      <c r="S219" s="77"/>
      <c r="T219" s="77"/>
    </row>
    <row r="220" spans="1:20" ht="13" hidden="1">
      <c r="A220" s="207"/>
      <c r="B220" s="208"/>
      <c r="C220" s="209"/>
      <c r="D220" s="210"/>
      <c r="E220" s="194"/>
      <c r="F220" s="211"/>
      <c r="G220" s="77"/>
      <c r="H220" s="212"/>
      <c r="I220" s="77"/>
      <c r="J220" s="213"/>
      <c r="K220" s="214"/>
      <c r="L220" s="214"/>
      <c r="M220" s="214"/>
      <c r="N220" s="214"/>
      <c r="O220" s="215"/>
      <c r="P220" s="77"/>
      <c r="Q220" s="77"/>
      <c r="R220" s="77"/>
      <c r="S220" s="77"/>
      <c r="T220" s="77"/>
    </row>
    <row r="221" spans="1:20" ht="13" hidden="1">
      <c r="A221" s="207"/>
      <c r="B221" s="208"/>
      <c r="C221" s="209"/>
      <c r="D221" s="210"/>
      <c r="E221" s="194"/>
      <c r="F221" s="211"/>
      <c r="G221" s="77"/>
      <c r="H221" s="212"/>
      <c r="I221" s="77"/>
      <c r="J221" s="213"/>
      <c r="K221" s="214"/>
      <c r="L221" s="214"/>
      <c r="M221" s="214"/>
      <c r="N221" s="214"/>
      <c r="O221" s="215"/>
      <c r="P221" s="77"/>
      <c r="Q221" s="77"/>
      <c r="R221" s="77"/>
      <c r="S221" s="77"/>
      <c r="T221" s="77"/>
    </row>
    <row r="222" spans="1:20" ht="13" hidden="1">
      <c r="A222" s="207"/>
      <c r="B222" s="208"/>
      <c r="C222" s="209"/>
      <c r="D222" s="210"/>
      <c r="E222" s="194"/>
      <c r="F222" s="211"/>
      <c r="G222" s="77"/>
      <c r="H222" s="212"/>
      <c r="I222" s="77"/>
      <c r="J222" s="213"/>
      <c r="K222" s="214"/>
      <c r="L222" s="214"/>
      <c r="M222" s="214"/>
      <c r="N222" s="214"/>
      <c r="O222" s="215"/>
      <c r="P222" s="77"/>
      <c r="Q222" s="77"/>
      <c r="R222" s="77"/>
      <c r="S222" s="77"/>
      <c r="T222" s="77"/>
    </row>
    <row r="223" spans="1:20" ht="13" hidden="1">
      <c r="A223" s="207"/>
      <c r="B223" s="208"/>
      <c r="C223" s="209"/>
      <c r="D223" s="210"/>
      <c r="E223" s="194"/>
      <c r="F223" s="216"/>
      <c r="G223" s="77"/>
      <c r="H223" s="212"/>
      <c r="I223" s="77"/>
      <c r="J223" s="213"/>
      <c r="K223" s="214"/>
      <c r="L223" s="214"/>
      <c r="M223" s="214"/>
      <c r="N223" s="214"/>
      <c r="O223" s="215"/>
      <c r="P223" s="77"/>
      <c r="Q223" s="77"/>
      <c r="R223" s="77"/>
      <c r="S223" s="77"/>
      <c r="T223" s="77"/>
    </row>
    <row r="224" spans="1:20" ht="13" hidden="1">
      <c r="A224" s="207"/>
      <c r="B224" s="208"/>
      <c r="C224" s="209"/>
      <c r="D224" s="210"/>
      <c r="E224" s="194"/>
      <c r="F224" s="211"/>
      <c r="G224" s="77"/>
      <c r="H224" s="212"/>
      <c r="I224" s="77"/>
      <c r="J224" s="213"/>
      <c r="K224" s="214"/>
      <c r="L224" s="214"/>
      <c r="M224" s="214"/>
      <c r="N224" s="214"/>
      <c r="O224" s="215"/>
      <c r="P224" s="77"/>
      <c r="Q224" s="77"/>
      <c r="R224" s="77"/>
      <c r="S224" s="77"/>
      <c r="T224" s="77"/>
    </row>
    <row r="225" spans="1:21" ht="13" hidden="1">
      <c r="A225" s="207"/>
      <c r="B225" s="208"/>
      <c r="C225" s="209"/>
      <c r="D225" s="210"/>
      <c r="E225" s="217"/>
      <c r="F225" s="218"/>
      <c r="G225" s="77"/>
      <c r="H225" s="212"/>
      <c r="I225" s="77"/>
      <c r="J225" s="213"/>
      <c r="K225" s="214"/>
      <c r="L225" s="214"/>
      <c r="M225" s="214"/>
      <c r="N225" s="214"/>
      <c r="O225" s="215"/>
      <c r="P225" s="77"/>
      <c r="Q225" s="77"/>
      <c r="R225" s="77"/>
      <c r="S225" s="77"/>
      <c r="T225" s="77"/>
    </row>
    <row r="226" spans="1:21" ht="13" hidden="1">
      <c r="A226" s="207"/>
      <c r="B226" s="208"/>
      <c r="C226" s="209"/>
      <c r="D226" s="210"/>
      <c r="E226" s="219"/>
      <c r="F226" s="220"/>
      <c r="G226" s="77"/>
      <c r="H226" s="212"/>
      <c r="I226" s="77"/>
      <c r="J226" s="213"/>
      <c r="K226" s="214"/>
      <c r="L226" s="214"/>
      <c r="M226" s="214"/>
      <c r="N226" s="214"/>
      <c r="O226" s="215"/>
      <c r="P226" s="77"/>
      <c r="Q226" s="77"/>
      <c r="R226" s="77"/>
      <c r="S226" s="77"/>
      <c r="T226" s="77"/>
    </row>
    <row r="227" spans="1:21" ht="13" hidden="1">
      <c r="A227" s="207"/>
      <c r="B227" s="208"/>
      <c r="C227" s="209"/>
      <c r="D227" s="210"/>
      <c r="E227" s="219"/>
      <c r="F227" s="220"/>
      <c r="G227" s="77"/>
      <c r="H227" s="212"/>
      <c r="I227" s="77"/>
      <c r="J227" s="213"/>
      <c r="K227" s="214"/>
      <c r="L227" s="214"/>
      <c r="M227" s="214"/>
      <c r="N227" s="214"/>
      <c r="O227" s="215"/>
      <c r="P227" s="77"/>
      <c r="Q227" s="77"/>
      <c r="R227" s="77"/>
      <c r="S227" s="77"/>
      <c r="T227" s="77"/>
    </row>
    <row r="228" spans="1:21" ht="13" hidden="1">
      <c r="A228" s="207"/>
      <c r="B228" s="208"/>
      <c r="C228" s="209"/>
      <c r="D228" s="210"/>
      <c r="E228" s="219"/>
      <c r="F228" s="220"/>
      <c r="G228" s="77"/>
      <c r="H228" s="212"/>
      <c r="I228" s="77"/>
      <c r="J228" s="213"/>
      <c r="K228" s="214"/>
      <c r="L228" s="214"/>
      <c r="M228" s="214"/>
      <c r="N228" s="214"/>
      <c r="O228" s="215"/>
      <c r="P228" s="77"/>
      <c r="Q228" s="77"/>
      <c r="R228" s="77"/>
      <c r="S228" s="77"/>
      <c r="T228" s="77"/>
    </row>
    <row r="229" spans="1:21" ht="13" hidden="1">
      <c r="A229" s="207"/>
      <c r="B229" s="208"/>
      <c r="C229" s="209"/>
      <c r="D229" s="210"/>
      <c r="E229" s="219"/>
      <c r="F229" s="220"/>
      <c r="G229" s="77"/>
      <c r="H229" s="212"/>
      <c r="I229" s="77"/>
      <c r="J229" s="213"/>
      <c r="K229" s="214"/>
      <c r="L229" s="214"/>
      <c r="M229" s="214"/>
      <c r="N229" s="214"/>
      <c r="O229" s="215"/>
      <c r="P229" s="77"/>
      <c r="Q229" s="77"/>
      <c r="R229" s="77"/>
      <c r="S229" s="77"/>
      <c r="T229" s="77"/>
    </row>
    <row r="230" spans="1:21" ht="13" hidden="1">
      <c r="A230" s="207"/>
      <c r="B230" s="208"/>
      <c r="C230" s="209"/>
      <c r="D230" s="210"/>
      <c r="E230" s="219"/>
      <c r="F230" s="220"/>
      <c r="G230" s="77"/>
      <c r="H230" s="212"/>
      <c r="I230" s="77"/>
      <c r="J230" s="213"/>
      <c r="K230" s="214"/>
      <c r="L230" s="214"/>
      <c r="M230" s="214"/>
      <c r="N230" s="214"/>
      <c r="O230" s="215"/>
      <c r="P230" s="77"/>
      <c r="Q230" s="77"/>
      <c r="R230" s="77"/>
      <c r="S230" s="77"/>
      <c r="T230" s="77"/>
    </row>
    <row r="231" spans="1:21" ht="13" hidden="1">
      <c r="A231" s="207"/>
      <c r="B231" s="208"/>
      <c r="C231" s="209"/>
      <c r="D231" s="210"/>
      <c r="E231" s="219"/>
      <c r="F231" s="220"/>
      <c r="G231" s="77"/>
      <c r="H231" s="212"/>
      <c r="I231" s="77"/>
      <c r="J231" s="213"/>
      <c r="K231" s="214"/>
      <c r="L231" s="214"/>
      <c r="M231" s="214"/>
      <c r="N231" s="214"/>
      <c r="O231" s="215"/>
      <c r="P231" s="77"/>
      <c r="Q231" s="77"/>
      <c r="R231" s="77"/>
      <c r="S231" s="77"/>
      <c r="T231" s="77"/>
    </row>
    <row r="232" spans="1:21" ht="13" hidden="1">
      <c r="A232" s="207"/>
      <c r="B232" s="208"/>
      <c r="C232" s="209"/>
      <c r="D232" s="210"/>
      <c r="E232" s="219"/>
      <c r="F232" s="220"/>
      <c r="G232" s="77"/>
      <c r="H232" s="212"/>
      <c r="I232" s="77"/>
      <c r="J232" s="213"/>
      <c r="K232" s="214"/>
      <c r="L232" s="214"/>
      <c r="M232" s="214"/>
      <c r="N232" s="214"/>
      <c r="O232" s="215"/>
      <c r="P232" s="77"/>
      <c r="Q232" s="77"/>
      <c r="R232" s="77"/>
      <c r="S232" s="77"/>
      <c r="T232" s="77"/>
    </row>
    <row r="233" spans="1:21" ht="13" hidden="1">
      <c r="A233" s="496" t="str">
        <f>HYPERLINK("https://phillipreeve.net/blog/tokina-firin-20mm-f2-fe-review-a-good-deal/","Tokina Firin 2/20")</f>
        <v>Tokina Firin 2/20</v>
      </c>
      <c r="B233" s="359">
        <v>492</v>
      </c>
      <c r="C233" s="420">
        <v>20</v>
      </c>
      <c r="D233" s="428">
        <v>2</v>
      </c>
      <c r="E233" s="429">
        <v>69</v>
      </c>
      <c r="F233" s="430">
        <v>82</v>
      </c>
      <c r="G233" s="377" t="s">
        <v>25</v>
      </c>
      <c r="H233" s="462" t="s">
        <v>101</v>
      </c>
      <c r="I233" s="462">
        <v>0.1</v>
      </c>
      <c r="J233" s="431">
        <v>799</v>
      </c>
      <c r="K233" s="405" t="str">
        <f>HYPERLINK("http://amzn.to/2vlG2Yq","link*")</f>
        <v>link*</v>
      </c>
      <c r="L233" s="405" t="str">
        <f>HYPERLINK("https://www.bhphotovideo.com/c/product/1281299-REG/tokina_firin_20mm_f_2_fe.html/BI/19619/KBID/12129/kw/TO202E/DFF/d10-v2-t1-xTO202E","link*")</f>
        <v>link*</v>
      </c>
      <c r="M233" s="405" t="str">
        <f>HYPERLINK("http://amzn.to/2vvtDkM","link*")</f>
        <v>link*</v>
      </c>
      <c r="N233" s="405"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c r="O233" s="368">
        <v>30</v>
      </c>
      <c r="P233" s="364" t="s">
        <v>27</v>
      </c>
      <c r="Q233" s="462">
        <v>9</v>
      </c>
      <c r="R233" s="369" t="s">
        <v>77</v>
      </c>
      <c r="S233" s="419" t="s">
        <v>103</v>
      </c>
      <c r="T233" s="371">
        <v>42856</v>
      </c>
      <c r="U233" s="372"/>
    </row>
    <row r="234" spans="1:21" ht="13" hidden="1">
      <c r="A234" s="472" t="s">
        <v>97</v>
      </c>
      <c r="B234" s="359">
        <v>464</v>
      </c>
      <c r="C234" s="420">
        <v>20</v>
      </c>
      <c r="D234" s="428">
        <v>2</v>
      </c>
      <c r="E234" s="432">
        <v>73</v>
      </c>
      <c r="F234" s="430">
        <v>82</v>
      </c>
      <c r="G234" s="364" t="s">
        <v>36</v>
      </c>
      <c r="H234" s="462" t="s">
        <v>101</v>
      </c>
      <c r="I234" s="462">
        <v>0.1</v>
      </c>
      <c r="J234" s="366">
        <v>949</v>
      </c>
      <c r="K234" s="405" t="str">
        <f>HYPERLINK("https://amzn.to/2GDurZb","link*")</f>
        <v>link*</v>
      </c>
      <c r="L234" s="405" t="str">
        <f>HYPERLINK("https://www.bhphotovideo.com/c/product/1393327-REG/tokina_firin_20mm_f_2_fe.html/BI/19619/KBID/12129/DFF/d10-v21-t1-x880327/SID/EZ","link*")</f>
        <v>link*</v>
      </c>
      <c r="M234" s="405" t="str">
        <f>HYPERLINK("https://amzn.to/2GJYCxw","link*")</f>
        <v>link*</v>
      </c>
      <c r="N234" s="405"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O234" s="368">
        <v>30</v>
      </c>
      <c r="P234" s="364" t="s">
        <v>27</v>
      </c>
      <c r="Q234" s="462">
        <v>9</v>
      </c>
      <c r="R234" s="369" t="s">
        <v>77</v>
      </c>
      <c r="S234" s="419" t="s">
        <v>103</v>
      </c>
      <c r="T234" s="371">
        <v>43221</v>
      </c>
      <c r="U234" s="372"/>
    </row>
    <row r="235" spans="1:21" ht="13" hidden="1">
      <c r="A235" s="504" t="str">
        <f>HYPERLINK("https://phillipreeve.net/blog/review_voigtlander_21mm_f14_e/","Voigtlander 21mm F1.4 Nokton")</f>
        <v>Voigtlander 21mm F1.4 Nokton</v>
      </c>
      <c r="B235" s="359">
        <v>540</v>
      </c>
      <c r="C235" s="433">
        <v>21</v>
      </c>
      <c r="D235" s="421">
        <v>1.4</v>
      </c>
      <c r="E235" s="434">
        <v>70</v>
      </c>
      <c r="F235" s="413">
        <v>80</v>
      </c>
      <c r="G235" s="377" t="s">
        <v>25</v>
      </c>
      <c r="H235" s="462" t="s">
        <v>101</v>
      </c>
      <c r="I235" s="419"/>
      <c r="J235" s="366">
        <v>1199</v>
      </c>
      <c r="K235" s="405" t="str">
        <f>HYPERLINK("https://amzn.to/2K7gHrC","link*")</f>
        <v>link*</v>
      </c>
      <c r="L235" s="405" t="str">
        <f>HYPERLINK("https://www.bhphotovideo.com/c/product/1480269-REG/voigtlander_ba352a_nokton_21mm_f_1_4_aspherical.html/BI/19619/KBID/12129/DFF/d10-v21-t1-x963269/SID/EZ","link*")</f>
        <v>link*</v>
      </c>
      <c r="M235" s="419"/>
      <c r="N235" s="405"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c r="O235" s="368">
        <v>25</v>
      </c>
      <c r="P235" s="364" t="s">
        <v>27</v>
      </c>
      <c r="Q235" s="462">
        <v>12</v>
      </c>
      <c r="R235" s="369" t="s">
        <v>77</v>
      </c>
      <c r="S235" s="419" t="s">
        <v>29</v>
      </c>
      <c r="T235" s="371">
        <v>43617</v>
      </c>
      <c r="U235" s="372"/>
    </row>
    <row r="236" spans="1:21" ht="13" hidden="1">
      <c r="A236" s="496" t="str">
        <f>HYPERLINK("https://phillipreeve.net/blog/rolling-review-zeiss-loxia-distagon-2-821mm-t/https://phillipreeve.net/blog/rolling-review-zeiss-loxia-distagon-2-821mm-t/","Zeiss Loxia 2.8/21 Distagon T*")</f>
        <v>Zeiss Loxia 2.8/21 Distagon T*</v>
      </c>
      <c r="B236" s="374">
        <v>394</v>
      </c>
      <c r="C236" s="433">
        <v>21</v>
      </c>
      <c r="D236" s="391">
        <v>2.8</v>
      </c>
      <c r="E236" s="435">
        <v>62</v>
      </c>
      <c r="F236" s="436">
        <v>72</v>
      </c>
      <c r="G236" s="377" t="s">
        <v>25</v>
      </c>
      <c r="H236" s="462" t="s">
        <v>131</v>
      </c>
      <c r="I236" s="462">
        <v>0.13</v>
      </c>
      <c r="J236" s="366">
        <v>1499</v>
      </c>
      <c r="K236" s="405" t="str">
        <f>HYPERLINK("https://amzn.to/2yspzBm","link*")</f>
        <v>link*</v>
      </c>
      <c r="L236" s="405" t="str">
        <f>HYPERLINK("https://www.bhphotovideo.com/c/product/1189220-REG/zeiss_2131_999_loxia_21mm_f_2_8_lens.html/BI/19619/KBID/12129/DFF/d10-v21-t1-x677077/SID/EZ","link*")</f>
        <v>link*</v>
      </c>
      <c r="M236" s="405" t="str">
        <f>HYPERLINK("https://amzn.to/2GHSOoA","link*")</f>
        <v>link*</v>
      </c>
      <c r="N236" s="405"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c r="O236" s="368">
        <v>25</v>
      </c>
      <c r="P236" s="364" t="s">
        <v>27</v>
      </c>
      <c r="Q236" s="462">
        <v>10</v>
      </c>
      <c r="R236" s="369" t="s">
        <v>132</v>
      </c>
      <c r="S236" s="419" t="s">
        <v>87</v>
      </c>
      <c r="T236" s="371">
        <v>42339</v>
      </c>
      <c r="U236" s="372"/>
    </row>
    <row r="237" spans="1:21" ht="13" hidden="1">
      <c r="A237" s="496" t="str">
        <f>HYPERLINK("https://phillipreeve.net/blog/voigtlander-21mm-f35-review/","Voigtlander 21mm F3.5 Color-Skopar")</f>
        <v>Voigtlander 21mm F3.5 Color-Skopar</v>
      </c>
      <c r="B237" s="374">
        <v>230</v>
      </c>
      <c r="C237" s="433">
        <v>21</v>
      </c>
      <c r="D237" s="437">
        <v>3.5</v>
      </c>
      <c r="E237" s="435">
        <v>63</v>
      </c>
      <c r="F237" s="438">
        <v>40</v>
      </c>
      <c r="G237" s="377" t="s">
        <v>25</v>
      </c>
      <c r="H237" s="462" t="s">
        <v>131</v>
      </c>
      <c r="I237" s="419"/>
      <c r="J237" s="366">
        <v>699</v>
      </c>
      <c r="K237" s="405" t="str">
        <f>HYPERLINK("https://amzn.to/2JCie75","link*")</f>
        <v>link*</v>
      </c>
      <c r="L237" s="405" t="str">
        <f>HYPERLINK("https://www.bhphotovideo.com/c/product/1437613-REG/voigtlander_color_skopar_21mm_f_3_5_aspherical.html/BI/19619/KBID/12129/kw/VO2135E/DFF/d10-v2-t1-xVO2135E","link*")</f>
        <v>link*</v>
      </c>
      <c r="M237" s="405" t="str">
        <f>HYPERLINK("https://amzn.to/2ZoERan","link*")</f>
        <v>link*</v>
      </c>
      <c r="N237" s="405"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O237" s="368">
        <v>20</v>
      </c>
      <c r="P237" s="364" t="s">
        <v>27</v>
      </c>
      <c r="Q237" s="462">
        <v>10</v>
      </c>
      <c r="R237" s="369" t="s">
        <v>91</v>
      </c>
      <c r="S237" s="419" t="s">
        <v>29</v>
      </c>
      <c r="T237" s="371">
        <v>43374</v>
      </c>
      <c r="U237" s="372"/>
    </row>
    <row r="238" spans="1:21" ht="13" hidden="1">
      <c r="A238" s="496" t="str">
        <f>HYPERLINK("https://phillipreeve.net/blog/review-sony-fe-24mm-1-4-gm/","Sony GM 1.4/24")</f>
        <v>Sony GM 1.4/24</v>
      </c>
      <c r="B238" s="359">
        <v>445</v>
      </c>
      <c r="C238" s="439">
        <v>24</v>
      </c>
      <c r="D238" s="421">
        <v>1.4</v>
      </c>
      <c r="E238" s="440">
        <v>75</v>
      </c>
      <c r="F238" s="441">
        <v>92</v>
      </c>
      <c r="G238" s="364" t="s">
        <v>36</v>
      </c>
      <c r="H238" s="462" t="s">
        <v>73</v>
      </c>
      <c r="I238" s="462">
        <v>0.17</v>
      </c>
      <c r="J238" s="366">
        <v>1399</v>
      </c>
      <c r="K238" s="405" t="str">
        <f>HYPERLINK("https://amzn.to/2ywcbw1","link*")</f>
        <v>link*</v>
      </c>
      <c r="L238" s="405" t="str">
        <f>HYPERLINK("https://www.bhphotovideo.com/c/product/1435887-REG/sony_fe_24mm_f_1_4_gm.html/BI/19619/KBID/12129/DFF/d10-v21-t1-x915647/SID/EZ","link*")</f>
        <v>link*</v>
      </c>
      <c r="M238" s="405" t="str">
        <f>HYPERLINK("https://amzn.to/2L2tV9y","link*")</f>
        <v>link*</v>
      </c>
      <c r="N238" s="405" t="str">
        <f>HYPERLINK("https://amzn.to/338yg28","link*")</f>
        <v>link*</v>
      </c>
      <c r="O238" s="368">
        <v>25</v>
      </c>
      <c r="P238" s="364" t="s">
        <v>27</v>
      </c>
      <c r="Q238" s="462">
        <v>11</v>
      </c>
      <c r="R238" s="369" t="s">
        <v>28</v>
      </c>
      <c r="S238" s="419" t="s">
        <v>41</v>
      </c>
      <c r="T238" s="371">
        <v>43374</v>
      </c>
      <c r="U238" s="372"/>
    </row>
    <row r="239" spans="1:21" ht="13">
      <c r="A239" s="472" t="s">
        <v>121</v>
      </c>
      <c r="B239" s="390">
        <v>665</v>
      </c>
      <c r="C239" s="439">
        <v>24</v>
      </c>
      <c r="D239" s="421">
        <v>1.4</v>
      </c>
      <c r="E239" s="442">
        <v>85</v>
      </c>
      <c r="F239" s="443">
        <v>90</v>
      </c>
      <c r="G239" s="419" t="s">
        <v>36</v>
      </c>
      <c r="H239" s="462" t="s">
        <v>80</v>
      </c>
      <c r="I239" s="462">
        <v>0.19</v>
      </c>
      <c r="J239" s="366">
        <v>849</v>
      </c>
      <c r="K239" s="405" t="str">
        <f>HYPERLINK("https://amzn.to/2Isw2Rv","link*")</f>
        <v>link*</v>
      </c>
      <c r="L239" s="405" t="str">
        <f>HYPERLINK("https://www.bhphotovideo.com/c/product/1393491-REG/sigma_24mm_f_1_4_dg_hsm.html/BI/19619/KBID/12129/kw/SI2414SO/DFF/d10-v2-t1-xSI2414SO","link*")</f>
        <v>link*</v>
      </c>
      <c r="M239" s="405" t="str">
        <f>HYPERLINK("https://amzn.to/2K7sIP4","link*")</f>
        <v>link*</v>
      </c>
      <c r="N239" s="405"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O239" s="368">
        <v>25</v>
      </c>
      <c r="P239" s="364" t="s">
        <v>27</v>
      </c>
      <c r="Q239" s="462">
        <v>9</v>
      </c>
      <c r="R239" s="388">
        <v>43784</v>
      </c>
      <c r="S239" s="419" t="s">
        <v>47</v>
      </c>
      <c r="T239" s="371">
        <v>43221</v>
      </c>
      <c r="U239" s="372" t="s">
        <v>48</v>
      </c>
    </row>
    <row r="240" spans="1:21" ht="13" hidden="1">
      <c r="A240" s="496" t="str">
        <f>HYPERLINK("https://phillipreeve.net/blog/review-samyang-af-2-4-28-fe-at-least-its-small/","Samyang AF 24mm F/2.8")</f>
        <v>Samyang AF 24mm F/2.8</v>
      </c>
      <c r="B240" s="416">
        <v>93</v>
      </c>
      <c r="C240" s="439">
        <v>24</v>
      </c>
      <c r="D240" s="391">
        <v>2.8</v>
      </c>
      <c r="E240" s="435">
        <v>61</v>
      </c>
      <c r="F240" s="444">
        <v>37</v>
      </c>
      <c r="G240" s="364" t="s">
        <v>36</v>
      </c>
      <c r="H240" s="462" t="s">
        <v>124</v>
      </c>
      <c r="I240" s="462">
        <v>0.15</v>
      </c>
      <c r="J240" s="431">
        <v>279</v>
      </c>
      <c r="K240" s="405" t="str">
        <f>HYPERLINK("https://amzn.to/2NEHZ7c","link*")</f>
        <v>link*</v>
      </c>
      <c r="L240" s="405" t="str">
        <f>HYPERLINK("https://www.bhphotovideo.com/c/product/1413350-REG/samyang_syio24af_e_af_24mm_f_2_8_fe.html/BI/19619/KBID/12129/kw/SASYIO24AFE/DFF/d10-v2-t1-xSASYIO24AFE","link*")</f>
        <v>link*</v>
      </c>
      <c r="M240" s="405" t="str">
        <f>HYPERLINK("https://amzn.to/2Onv1QE","link*")</f>
        <v>link*</v>
      </c>
      <c r="N240" s="405"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c r="O240" s="368">
        <v>20</v>
      </c>
      <c r="P240" s="364" t="s">
        <v>27</v>
      </c>
      <c r="Q240" s="462">
        <v>9</v>
      </c>
      <c r="R240" s="369" t="s">
        <v>127</v>
      </c>
      <c r="S240" s="419" t="s">
        <v>38</v>
      </c>
      <c r="T240" s="371">
        <v>43282</v>
      </c>
      <c r="U240" s="372"/>
    </row>
    <row r="241" spans="1:21" ht="13" hidden="1">
      <c r="A241" s="738" t="str">
        <f>HYPERLINK("https://phillipreeve.net/blog/review-sony-fe-2-824-70mm-gm/","Sony GM 2.8/24-70")</f>
        <v>Sony GM 2.8/24-70</v>
      </c>
      <c r="B241" s="390">
        <v>886</v>
      </c>
      <c r="C241" s="439">
        <v>24</v>
      </c>
      <c r="D241" s="391">
        <v>2.8</v>
      </c>
      <c r="E241" s="446">
        <v>88</v>
      </c>
      <c r="F241" s="447">
        <v>136</v>
      </c>
      <c r="G241" s="364" t="s">
        <v>36</v>
      </c>
      <c r="H241" s="462" t="s">
        <v>68</v>
      </c>
      <c r="I241" s="468">
        <v>0.25</v>
      </c>
      <c r="J241" s="366">
        <v>2199</v>
      </c>
      <c r="K241" s="405" t="str">
        <f>HYPERLINK("https://amzn.to/2STHavK","link*")</f>
        <v>link*</v>
      </c>
      <c r="L241" s="405" t="str">
        <f>HYPERLINK("https://www.bhphotovideo.com/c/search?Ntt=gm%2024-70&amp;N=0&amp;InitialSearch=yes&amp;sts=ma&amp;Top+Nav-Search=&amp;BI=19619&amp;KBID=12129&amp;KWID=EZ","link*")</f>
        <v>link*</v>
      </c>
      <c r="M241" s="405" t="str">
        <f>HYPERLINK("https://amzn.to/2ZwoyU7","link*")</f>
        <v>link*</v>
      </c>
      <c r="N241" s="405"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c r="O241" s="368">
        <v>38</v>
      </c>
      <c r="P241" s="364" t="s">
        <v>27</v>
      </c>
      <c r="Q241" s="462">
        <v>11</v>
      </c>
      <c r="R241" s="369" t="s">
        <v>54</v>
      </c>
      <c r="S241" s="419" t="s">
        <v>41</v>
      </c>
      <c r="T241" s="371">
        <v>42401</v>
      </c>
      <c r="U241" s="372"/>
    </row>
    <row r="242" spans="1:21" ht="13" hidden="1">
      <c r="A242" s="472" t="s">
        <v>129</v>
      </c>
      <c r="B242" s="390">
        <v>780</v>
      </c>
      <c r="C242" s="439">
        <v>24</v>
      </c>
      <c r="D242" s="449" t="s">
        <v>130</v>
      </c>
      <c r="E242" s="450">
        <v>80</v>
      </c>
      <c r="F242" s="451">
        <v>119</v>
      </c>
      <c r="G242" s="364" t="s">
        <v>36</v>
      </c>
      <c r="H242" s="462" t="s">
        <v>64</v>
      </c>
      <c r="I242" s="468">
        <v>0.27</v>
      </c>
      <c r="J242" s="366">
        <v>998</v>
      </c>
      <c r="K242" s="405" t="str">
        <f>HYPERLINK("http://amzn.to/2fbX5FU","link*")</f>
        <v>link*</v>
      </c>
      <c r="L242" s="405" t="str">
        <f>HYPERLINK("https://www.bhphotovideo.com/c/search?Ntt=sony%2024-240&amp;N=0&amp;InitialSearch=yes&amp;sts=ma&amp;Top+Nav-Search=&amp;BI=19619&amp;KBID=12129&amp;KWID=EZ","link*")</f>
        <v>link*</v>
      </c>
      <c r="M242" s="405" t="str">
        <f>HYPERLINK("http://amzn.to/2wyrL7A","link*")</f>
        <v>link*</v>
      </c>
      <c r="N242" s="405"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c r="O242" s="368">
        <v>50</v>
      </c>
      <c r="P242" s="471" t="s">
        <v>66</v>
      </c>
      <c r="Q242" s="462">
        <v>7</v>
      </c>
      <c r="R242" s="369" t="s">
        <v>133</v>
      </c>
      <c r="S242" s="419" t="s">
        <v>41</v>
      </c>
      <c r="T242" s="371">
        <v>42064</v>
      </c>
      <c r="U242" s="372"/>
    </row>
    <row r="243" spans="1:21" ht="13" hidden="1">
      <c r="A243" s="472" t="s">
        <v>134</v>
      </c>
      <c r="B243" s="390">
        <v>663</v>
      </c>
      <c r="C243" s="439">
        <v>24</v>
      </c>
      <c r="D243" s="361">
        <v>4</v>
      </c>
      <c r="E243" s="452">
        <v>83</v>
      </c>
      <c r="F243" s="453">
        <v>113</v>
      </c>
      <c r="G243" s="364" t="s">
        <v>36</v>
      </c>
      <c r="H243" s="462" t="s">
        <v>80</v>
      </c>
      <c r="I243" s="468">
        <v>0.31</v>
      </c>
      <c r="J243" s="366">
        <v>1398</v>
      </c>
      <c r="K243" s="405" t="str">
        <f>HYPERLINK("https://amzn.to/2K7LwMR","link*")</f>
        <v>link*</v>
      </c>
      <c r="L243" s="405" t="str">
        <f>HYPERLINK("https://www.bhphotovideo.com/c/search?Ntt=sony%2024-105&amp;N=0&amp;InitialSearch=yes&amp;sts=ma&amp;Top+Nav-Search=&amp;BI=19619&amp;KBID=12129&amp;KWID=EZ","link*")</f>
        <v>link*</v>
      </c>
      <c r="M243" s="405" t="str">
        <f>HYPERLINK("https://amzn.to/2Ld8hOS","link*")</f>
        <v>link*</v>
      </c>
      <c r="N243" s="405"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c r="O243" s="368">
        <v>38</v>
      </c>
      <c r="P243" s="471" t="s">
        <v>66</v>
      </c>
      <c r="Q243" s="462">
        <v>9</v>
      </c>
      <c r="R243" s="369" t="s">
        <v>135</v>
      </c>
      <c r="S243" s="419" t="s">
        <v>41</v>
      </c>
      <c r="T243" s="371">
        <v>43009</v>
      </c>
      <c r="U243" s="372"/>
    </row>
    <row r="244" spans="1:21" ht="13" hidden="1">
      <c r="A244" s="496" t="str">
        <f>HYPERLINK("https://phillipreeve.net/blog/rolling-review-carl-zeiss-vario-tessar-t-fe-424-70-za/","Sony ZA 4/24-70 OSS")</f>
        <v>Sony ZA 4/24-70 OSS</v>
      </c>
      <c r="B244" s="359">
        <v>426</v>
      </c>
      <c r="C244" s="439">
        <v>24</v>
      </c>
      <c r="D244" s="361">
        <v>4</v>
      </c>
      <c r="E244" s="454">
        <v>73</v>
      </c>
      <c r="F244" s="455">
        <v>95</v>
      </c>
      <c r="G244" s="364" t="s">
        <v>36</v>
      </c>
      <c r="H244" s="462" t="s">
        <v>73</v>
      </c>
      <c r="I244" s="462">
        <v>0.2</v>
      </c>
      <c r="J244" s="366">
        <v>898</v>
      </c>
      <c r="K244" s="405" t="str">
        <f>HYPERLINK("http://amzn.to/2vlG2Yq","link*")</f>
        <v>link*</v>
      </c>
      <c r="L244" s="405" t="str">
        <f>HYPERLINK("https://www.bhphotovideo.com/c/product/1008126-REG/sony_sel2470z_vario_tessar_t_fe_24_70mm.html/BI/19619/KBID/12129/DFF/d10-v21-t1-x466842/SID/EZ","link*")</f>
        <v>link*</v>
      </c>
      <c r="M244" s="405" t="str">
        <f>HYPERLINK("http://amzn.to/2fl1XZk","link*")</f>
        <v>link*</v>
      </c>
      <c r="N244" s="405"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O244" s="368">
        <v>40</v>
      </c>
      <c r="P244" s="471" t="s">
        <v>66</v>
      </c>
      <c r="Q244" s="462">
        <v>7</v>
      </c>
      <c r="R244" s="369" t="s">
        <v>43</v>
      </c>
      <c r="S244" s="419" t="s">
        <v>41</v>
      </c>
      <c r="T244" s="371">
        <v>41640</v>
      </c>
      <c r="U244" s="372"/>
    </row>
    <row r="245" spans="1:21" ht="13" hidden="1">
      <c r="A245" s="496" t="str">
        <f>HYPERLINK("https://phillipreeve.net/blog/review-zeiss-batis-distagon-t-25mm-f2/","Zeiss Batis 2/25")</f>
        <v>Zeiss Batis 2/25</v>
      </c>
      <c r="B245" s="374">
        <v>335</v>
      </c>
      <c r="C245" s="457">
        <v>25</v>
      </c>
      <c r="D245" s="428">
        <v>2</v>
      </c>
      <c r="E245" s="458">
        <v>92</v>
      </c>
      <c r="F245" s="459">
        <v>78</v>
      </c>
      <c r="G245" s="364" t="s">
        <v>36</v>
      </c>
      <c r="H245" s="462" t="s">
        <v>73</v>
      </c>
      <c r="I245" s="462">
        <v>0.19</v>
      </c>
      <c r="J245" s="366">
        <v>1299</v>
      </c>
      <c r="K245" s="405" t="str">
        <f>HYPERLINK("https://amzn.to/2ypHQiT","link*")</f>
        <v>link*</v>
      </c>
      <c r="L245" s="405" t="str">
        <f>HYPERLINK("https://www.bhphotovideo.com/c/product/1140832-REG/zeiss_2103_750_25mm_f_2_0_batis_wide.html/BI/19619/KBID/12129/DFF/d10-v21-t1-x627141/SID/EZ","link*")</f>
        <v>link*</v>
      </c>
      <c r="M245" s="405" t="str">
        <f>HYPERLINK("https://amzn.to/2L20DIj","link*")</f>
        <v>link*</v>
      </c>
      <c r="N245" s="405"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c r="O245" s="368">
        <v>20</v>
      </c>
      <c r="P245" s="364" t="s">
        <v>27</v>
      </c>
      <c r="Q245" s="462">
        <v>9</v>
      </c>
      <c r="R245" s="369" t="s">
        <v>140</v>
      </c>
      <c r="S245" s="419" t="s">
        <v>87</v>
      </c>
      <c r="T245" s="371">
        <v>42125</v>
      </c>
      <c r="U245" s="372"/>
    </row>
    <row r="246" spans="1:21" ht="13" hidden="1">
      <c r="A246" s="496" t="str">
        <f>HYPERLINK("https://phillipreeve.net/blog/review-zeiss-loxia-2-4-25mm-distagon/","Zeiss Loxia 2.4/25")</f>
        <v>Zeiss Loxia 2.4/25</v>
      </c>
      <c r="B246" s="374">
        <v>393</v>
      </c>
      <c r="C246" s="457">
        <v>25</v>
      </c>
      <c r="D246" s="460">
        <v>2.4</v>
      </c>
      <c r="E246" s="435">
        <v>62</v>
      </c>
      <c r="F246" s="461">
        <v>75</v>
      </c>
      <c r="G246" s="377" t="s">
        <v>25</v>
      </c>
      <c r="H246" s="462" t="s">
        <v>131</v>
      </c>
      <c r="I246" s="462">
        <v>0.16</v>
      </c>
      <c r="J246" s="366">
        <v>1299</v>
      </c>
      <c r="K246" s="405" t="str">
        <f>HYPERLINK("https://amzn.to/2OlyeAf","link*")</f>
        <v>link*</v>
      </c>
      <c r="L246" s="405" t="str">
        <f>HYPERLINK("https://www.bhphotovideo.com/c/product/1389169-REG/zeiss_000000_2218_783_loxia_25mm_f_2_4_lens.html/BI/19619/KBID/12129/kw/ZE2524L/DFF/d10-v2-t1-xZE2524L","link*")</f>
        <v>link*</v>
      </c>
      <c r="M246" s="405" t="str">
        <f>HYPERLINK("https://amzn.to/2OlyeAf","link*")</f>
        <v>link*</v>
      </c>
      <c r="N246" s="405" t="e">
        <f>HYPERLINK("http://rover.ebay.com/rover/1/711-53200-19255-0/1?icep_ff3=9&amp;pub=5575076376&amp;toolid=10001&amp;campid=5338573609&amp;customid=&amp;icep_uq=Zeissloxia+25mm&amp;icep_sellerId=&amp;icep_ex_kw=&amp;icep_sortBy=12&amp;icep_catId=3323&amp;icep_minPrice=&amp;icep_maxPrice=&amp;ipn=psmain&amp;icep_vectorid=2"&amp;"29466&amp;kwid=902099&amp;mtid=824&amp;kw=lg","link*")</f>
        <v>#VALUE!</v>
      </c>
      <c r="O246" s="368">
        <v>25</v>
      </c>
      <c r="P246" s="364" t="s">
        <v>27</v>
      </c>
      <c r="Q246" s="462">
        <v>10</v>
      </c>
      <c r="R246" s="369" t="s">
        <v>140</v>
      </c>
      <c r="S246" s="419" t="s">
        <v>87</v>
      </c>
      <c r="T246" s="371">
        <v>43160</v>
      </c>
      <c r="U246" s="372"/>
    </row>
    <row r="247" spans="1:21" ht="13">
      <c r="A247" s="472" t="s">
        <v>141</v>
      </c>
      <c r="B247" s="383">
        <v>965</v>
      </c>
      <c r="C247" s="464">
        <v>28</v>
      </c>
      <c r="D247" s="421">
        <v>1.4</v>
      </c>
      <c r="E247" s="452">
        <v>83</v>
      </c>
      <c r="F247" s="465">
        <v>134</v>
      </c>
      <c r="G247" s="364" t="s">
        <v>36</v>
      </c>
      <c r="H247" s="462" t="s">
        <v>80</v>
      </c>
      <c r="I247" s="462">
        <v>0.19</v>
      </c>
      <c r="J247" s="366">
        <v>1399</v>
      </c>
      <c r="K247" s="405" t="str">
        <f>HYPERLINK("https://amzn.to/2Wn0pxO","link*")</f>
        <v>link*</v>
      </c>
      <c r="L247" s="405" t="str">
        <f>HYPERLINK("https://www.bhphotovideo.com/c/product/1436285-REG/sigma_28mm_f_1_4_dg_hsm.html/BI/19619/KBID/12129/kw/SI2814DGSE/DFF/d10-v2-t1-xSI2814DGSE","link*")</f>
        <v>link*</v>
      </c>
      <c r="M247" s="405" t="str">
        <f>HYPERLINK("https://amzn.to/2WzVkHd","link*")</f>
        <v>link*</v>
      </c>
      <c r="N247" s="405"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c r="O247" s="368">
        <v>28</v>
      </c>
      <c r="P247" s="364" t="s">
        <v>27</v>
      </c>
      <c r="Q247" s="462">
        <v>9</v>
      </c>
      <c r="R247" s="369" t="s">
        <v>133</v>
      </c>
      <c r="S247" s="419" t="s">
        <v>47</v>
      </c>
      <c r="T247" s="371">
        <v>43435</v>
      </c>
      <c r="U247" s="372"/>
    </row>
    <row r="248" spans="1:21" ht="13" hidden="1">
      <c r="A248" s="496" t="str">
        <f>HYPERLINK("https://www.systemkamera-forum.de/blog/2015/05/sony-fe-28mm-f2-test-und-erfahrungsbericht/","Sony FE 2/28")</f>
        <v>Sony FE 2/28</v>
      </c>
      <c r="B248" s="416">
        <v>200</v>
      </c>
      <c r="C248" s="464">
        <v>28</v>
      </c>
      <c r="D248" s="428">
        <v>2</v>
      </c>
      <c r="E248" s="435">
        <v>60</v>
      </c>
      <c r="F248" s="466">
        <v>60</v>
      </c>
      <c r="G248" s="364" t="s">
        <v>36</v>
      </c>
      <c r="H248" s="462" t="s">
        <v>124</v>
      </c>
      <c r="I248" s="462">
        <v>0.13</v>
      </c>
      <c r="J248" s="410">
        <v>448</v>
      </c>
      <c r="K248" s="405" t="str">
        <f>HYPERLINK("https://amzn.to/2GXJWdo","link*")</f>
        <v>link*</v>
      </c>
      <c r="L248" s="405" t="str">
        <f>HYPERLINK("https://www.bhphotovideo.com/c/product/1402637-REG/sony_fe_28mm_f_2_lens.html/BI/19619/KBID/12129/kw/SO2820F/DFF/d10-v2-t1-xSO2820F","link*")</f>
        <v>link*</v>
      </c>
      <c r="M248" s="405" t="str">
        <f>HYPERLINK("http://amzn.to/2wyLOCO","link*")</f>
        <v>link*</v>
      </c>
      <c r="N248" s="405" t="e">
        <f>HYPERLINK("http://rover.ebay.com/rover/1/711-53200-19255-0/1?icep_ff3=10&amp;pub=5575076376&amp;toolid=10001&amp;campid=5338164340&amp;customid=&amp;icep_uq=sony+28+fe&amp;icep_sellerId=&amp;icep_ex_kw=&amp;icep_sortBy=12&amp;icep_catId=&amp;icep_minPrice=&amp;icep_maxPrice=&amp;ipn=psmain&amp;icep_vectorid=229466&amp;kw"&amp;"id=902099&amp;mtid=824&amp;kw=lg","link*")</f>
        <v>#VALUE!</v>
      </c>
      <c r="O248" s="368">
        <v>29</v>
      </c>
      <c r="P248" s="364" t="s">
        <v>27</v>
      </c>
      <c r="Q248" s="462">
        <v>9</v>
      </c>
      <c r="R248" s="369" t="s">
        <v>91</v>
      </c>
      <c r="S248" s="419" t="s">
        <v>41</v>
      </c>
      <c r="T248" s="371">
        <v>42064</v>
      </c>
      <c r="U248" s="372"/>
    </row>
    <row r="249" spans="1:21" ht="13" hidden="1">
      <c r="A249" s="496" t="str">
        <f>HYPERLINK("https://phillipreeve.net/blog/review-tamron-28-75mm-f-2-8-di-iii-rxd-sony-e-mount/","Tamron 2.8/28-75")</f>
        <v>Tamron 2.8/28-75</v>
      </c>
      <c r="B249" s="359">
        <v>550</v>
      </c>
      <c r="C249" s="464">
        <v>28</v>
      </c>
      <c r="D249" s="391">
        <v>2.8</v>
      </c>
      <c r="E249" s="454">
        <v>73</v>
      </c>
      <c r="F249" s="467">
        <v>118</v>
      </c>
      <c r="G249" s="364" t="s">
        <v>36</v>
      </c>
      <c r="H249" s="462" t="s">
        <v>73</v>
      </c>
      <c r="I249" s="468">
        <v>0.34</v>
      </c>
      <c r="J249" s="410">
        <v>879</v>
      </c>
      <c r="K249" s="405" t="str">
        <f>HYPERLINK("https://amzn.to/2ST5uxq","link*")</f>
        <v>link*</v>
      </c>
      <c r="L249" s="405" t="str">
        <f>HYPERLINK("https://www.bhphotovideo.com/c/product/1393332-REG/tamron_a036_28_75mm_f_2_8_di_iii.html/BI/19619/KBID/12129/DFF/d10-v21-t1-x892059/SID/EZ","link*")</f>
        <v>link*</v>
      </c>
      <c r="M249" s="405" t="str">
        <f>HYPERLINK("https://amzn.to/2ZmSzdU","link*")</f>
        <v>link*</v>
      </c>
      <c r="N249" s="405"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c r="O249" s="368">
        <v>19</v>
      </c>
      <c r="P249" s="364" t="s">
        <v>27</v>
      </c>
      <c r="Q249" s="462">
        <v>9</v>
      </c>
      <c r="R249" s="369" t="s">
        <v>122</v>
      </c>
      <c r="S249" s="419" t="s">
        <v>78</v>
      </c>
      <c r="T249" s="371">
        <v>43252</v>
      </c>
      <c r="U249" s="372"/>
    </row>
    <row r="250" spans="1:21" ht="13" hidden="1">
      <c r="A250" s="472" t="s">
        <v>145</v>
      </c>
      <c r="B250" s="374">
        <v>295</v>
      </c>
      <c r="C250" s="464">
        <v>28</v>
      </c>
      <c r="D250" s="449" t="s">
        <v>146</v>
      </c>
      <c r="E250" s="454">
        <v>73</v>
      </c>
      <c r="F250" s="470">
        <v>83</v>
      </c>
      <c r="G250" s="364" t="s">
        <v>36</v>
      </c>
      <c r="H250" s="462" t="s">
        <v>147</v>
      </c>
      <c r="I250" s="462">
        <v>0.19</v>
      </c>
      <c r="J250" s="366">
        <v>398</v>
      </c>
      <c r="K250" s="405" t="str">
        <f>HYPERLINK("https://www.amazon.com/gp/product/B00FYOFADE/ref=as_li_tl?ie=UTF8&amp;tag=wwwphillipree-20&amp;camp=1789&amp;creative=9325&amp;linkCode=as2&amp;creativeASIN=B00FYOFADE&amp;linkId=96720b245156eae53bb1a672d4453d3f","link*")</f>
        <v>link*</v>
      </c>
      <c r="L250" s="405" t="str">
        <f>HYPERLINK("https://www.bhphotovideo.com/c/product/1015472-REG/sony_sel2870_fe_28_70mm_f_3_5_5_6_oss.html/BI/19619/KBID/12129/DFF/d10-v21-t1-x473993/SID/EZ","link*")</f>
        <v>link*</v>
      </c>
      <c r="M250" s="405" t="str">
        <f>HYPERLINK("https://www.amazon.de/gp/product/B00HSHFPD0/ref=as_li_tl?ie=UTF8&amp;tag=wwwphillipree-21&amp;camp=1638&amp;creative=6742&amp;linkCode=as2&amp;creativeASIN=B00HSHFPD0&amp;linkId=6701f30673f8a4071232ca85e1953506","link*")</f>
        <v>link*</v>
      </c>
      <c r="N250" s="405"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c r="O250" s="368">
        <v>30</v>
      </c>
      <c r="P250" s="471" t="s">
        <v>66</v>
      </c>
      <c r="Q250" s="462">
        <v>7</v>
      </c>
      <c r="R250" s="369" t="s">
        <v>91</v>
      </c>
      <c r="S250" s="419" t="s">
        <v>41</v>
      </c>
      <c r="T250" s="371">
        <v>41548</v>
      </c>
      <c r="U250" s="372"/>
    </row>
    <row r="251" spans="1:21" ht="13" hidden="1">
      <c r="A251" s="472" t="s">
        <v>151</v>
      </c>
      <c r="B251" s="383">
        <v>1215</v>
      </c>
      <c r="C251" s="464">
        <v>28</v>
      </c>
      <c r="D251" s="361">
        <v>4</v>
      </c>
      <c r="E251" s="473">
        <v>105</v>
      </c>
      <c r="F251" s="474">
        <v>165</v>
      </c>
      <c r="G251" s="364" t="s">
        <v>36</v>
      </c>
      <c r="H251" s="475" t="s">
        <v>152</v>
      </c>
      <c r="I251" s="419"/>
      <c r="J251" s="366">
        <v>249</v>
      </c>
      <c r="K251" s="405" t="str">
        <f>HYPERLINK("http://amzn.to/2v2kiy9","link*")</f>
        <v>link*</v>
      </c>
      <c r="L251" s="405" t="str">
        <f>HYPERLINK("https://www.bhphotovideo.com/c/product/1082051-REG/sony_selp28135g_e_pz_28_135mm_f_4.html/BI/19619/KBID/12129/DFF/d10-v21-t1-x556056/SID/EZ","link*")</f>
        <v>link*</v>
      </c>
      <c r="M251" s="405" t="str">
        <f>HYPERLINK("http://amzn.to/2wlpg9b","link*")</f>
        <v>link*</v>
      </c>
      <c r="N251" s="405"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O251" s="368">
        <v>40</v>
      </c>
      <c r="P251" s="471" t="s">
        <v>66</v>
      </c>
      <c r="Q251" s="462">
        <v>9</v>
      </c>
      <c r="R251" s="369" t="s">
        <v>153</v>
      </c>
      <c r="S251" s="419" t="s">
        <v>41</v>
      </c>
      <c r="T251" s="371">
        <v>41883</v>
      </c>
      <c r="U251" s="357" t="s">
        <v>154</v>
      </c>
    </row>
    <row r="252" spans="1:21" ht="13">
      <c r="A252" s="504" t="str">
        <f>HYPERLINK("https://phillipreeve.net/blog/review-sigma-35mm-1-2-art-dg-dn/","Sigma Art 1.2/35")</f>
        <v>Sigma Art 1.2/35</v>
      </c>
      <c r="B252" s="383">
        <v>1090</v>
      </c>
      <c r="C252" s="477">
        <v>35</v>
      </c>
      <c r="D252" s="478">
        <v>1.2</v>
      </c>
      <c r="E252" s="446">
        <v>88</v>
      </c>
      <c r="F252" s="447">
        <v>136</v>
      </c>
      <c r="G252" s="419" t="s">
        <v>36</v>
      </c>
      <c r="H252" s="479" t="s">
        <v>68</v>
      </c>
      <c r="I252" s="462">
        <v>0.19</v>
      </c>
      <c r="J252" s="366">
        <v>1499</v>
      </c>
      <c r="K252" s="405" t="str">
        <f>HYPERLINK("https://amzn.to/2LiHhxc","link*")</f>
        <v>link*</v>
      </c>
      <c r="L252" s="405" t="str">
        <f>HYPERLINK("https://www.bhphotovideo.com/c/product/1492967-REG/sigma_341969_35mm_f_1_2_dg_dn.html/BI/19619/KBID/12129/DFF/d10-v21-t1-x976038/SID/EZ","link*")</f>
        <v>link*</v>
      </c>
      <c r="M252" s="419"/>
      <c r="N252" s="405"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c r="O252" s="368">
        <v>30</v>
      </c>
      <c r="P252" s="364" t="s">
        <v>27</v>
      </c>
      <c r="Q252" s="462">
        <v>11</v>
      </c>
      <c r="R252" s="388">
        <v>43816</v>
      </c>
      <c r="S252" s="419" t="s">
        <v>47</v>
      </c>
      <c r="T252" s="371">
        <v>43647</v>
      </c>
      <c r="U252" s="372"/>
    </row>
    <row r="253" spans="1:21" ht="13" hidden="1">
      <c r="A253" s="496" t="str">
        <f>HYPERLINK("https://phillipreeve.net/blog/review-sony-fe-35mm-1-4-za/","Sony ZA 1.4/35")</f>
        <v>Sony ZA 1.4/35</v>
      </c>
      <c r="B253" s="359">
        <v>630</v>
      </c>
      <c r="C253" s="477">
        <v>35</v>
      </c>
      <c r="D253" s="421">
        <v>1.4</v>
      </c>
      <c r="E253" s="480">
        <v>79</v>
      </c>
      <c r="F253" s="481">
        <v>112</v>
      </c>
      <c r="G253" s="419" t="s">
        <v>36</v>
      </c>
      <c r="H253" s="462" t="s">
        <v>64</v>
      </c>
      <c r="I253" s="462">
        <v>0.18</v>
      </c>
      <c r="J253" s="366">
        <v>1599</v>
      </c>
      <c r="K253" s="405" t="str">
        <f>HYPERLINK("https://amzn.to/2LRSMOS","link*")</f>
        <v>link*</v>
      </c>
      <c r="L253" s="405" t="str">
        <f>HYPERLINK("https://www.bhphotovideo.com/c/product/1126137-REG/sony_sel35f14z_distagon_t_fe_35mm.html/BI/19619/KBID/12129/DFF/d10-v21-t1-x612725/SID/EZ","link*")</f>
        <v>link*</v>
      </c>
      <c r="M253" s="405" t="str">
        <f>HYPERLINK("https://amzn.to/2ZmfSnX","link*")</f>
        <v>link*</v>
      </c>
      <c r="N253" s="405" t="e">
        <f>HYPERLINK("http://rover.ebay.com/rover/1/711-53200-19255-0/1?icep_ff3=9&amp;pub=5575076376&amp;toolid=10001&amp;campid=5338573609&amp;customid=&amp;icep_uq=sony+35+1.4+fe&amp;icep_sellerId=&amp;icep_ex_kw=&amp;icep_sortBy=12&amp;icep_catId=3323&amp;icep_minPrice=&amp;icep_maxPrice=&amp;ipn=psmain&amp;icep_vectorid=22"&amp;"9466&amp;kwid=902099&amp;mtid=824&amp;kw=lg","link*")</f>
        <v>#VALUE!</v>
      </c>
      <c r="O253" s="368">
        <v>30</v>
      </c>
      <c r="P253" s="364" t="s">
        <v>27</v>
      </c>
      <c r="Q253" s="462">
        <v>9</v>
      </c>
      <c r="R253" s="388">
        <v>43689</v>
      </c>
      <c r="S253" s="419" t="s">
        <v>41</v>
      </c>
      <c r="T253" s="371">
        <v>42064</v>
      </c>
      <c r="U253" s="372"/>
    </row>
    <row r="254" spans="1:21" ht="13" hidden="1">
      <c r="A254" s="472" t="s">
        <v>155</v>
      </c>
      <c r="B254" s="359">
        <v>645</v>
      </c>
      <c r="C254" s="477">
        <v>35</v>
      </c>
      <c r="D254" s="421">
        <v>1.4</v>
      </c>
      <c r="E254" s="482">
        <v>76</v>
      </c>
      <c r="F254" s="483">
        <v>115</v>
      </c>
      <c r="G254" s="419" t="s">
        <v>36</v>
      </c>
      <c r="H254" s="462" t="s">
        <v>73</v>
      </c>
      <c r="I254" s="462">
        <v>0.17</v>
      </c>
      <c r="J254" s="366">
        <v>799</v>
      </c>
      <c r="K254" s="405" t="str">
        <f>HYPERLINK("https://amzn.to/2K8DDXH","link*")</f>
        <v>link*</v>
      </c>
      <c r="L254" s="405" t="str">
        <f t="shared" ref="L254:L255" si="6">HYPERLINK("https://www.bhphotovideo.com/c/product/1381712-REG/voigtlander_nokton_classic_35mm_f_1_4.html/BI/19619/KBID/12129/DFF/d10-v21-t1-x877353/SID/EZ","link*")</f>
        <v>link*</v>
      </c>
      <c r="M254" s="405" t="str">
        <f>HYPERLINK("https://amzn.to/2Zhl3FI","link*")</f>
        <v>link*</v>
      </c>
      <c r="N254" s="405"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O254" s="368">
        <v>30</v>
      </c>
      <c r="P254" s="364" t="s">
        <v>27</v>
      </c>
      <c r="Q254" s="462">
        <v>9</v>
      </c>
      <c r="R254" s="388">
        <v>43719</v>
      </c>
      <c r="S254" s="419" t="s">
        <v>38</v>
      </c>
      <c r="T254" s="371">
        <v>43009</v>
      </c>
      <c r="U254" s="357" t="s">
        <v>156</v>
      </c>
    </row>
    <row r="255" spans="1:21" ht="13" hidden="1">
      <c r="A255" s="496" t="str">
        <f>HYPERLINK("https://phillipreeve.net/blog/review-voigtlander-35mm-1-4-nokton-e-classic/","Voigtlander 35mm F1.4 Nokton Classic")</f>
        <v>Voigtlander 35mm F1.4 Nokton Classic</v>
      </c>
      <c r="B255" s="374">
        <v>262</v>
      </c>
      <c r="C255" s="477">
        <v>35</v>
      </c>
      <c r="D255" s="421">
        <v>1.4</v>
      </c>
      <c r="E255" s="484">
        <v>67</v>
      </c>
      <c r="F255" s="438">
        <v>40</v>
      </c>
      <c r="G255" s="485" t="s">
        <v>25</v>
      </c>
      <c r="H255" s="462" t="s">
        <v>71</v>
      </c>
      <c r="I255" s="462">
        <v>0.16</v>
      </c>
      <c r="J255" s="366">
        <v>799</v>
      </c>
      <c r="K255" s="405" t="str">
        <f>HYPERLINK("https://amzn.to/2M1M8WH","link*")</f>
        <v>link*</v>
      </c>
      <c r="L255" s="405" t="str">
        <f t="shared" si="6"/>
        <v>link*</v>
      </c>
      <c r="M255" s="405" t="str">
        <f>HYPERLINK("https://amzn.to/2ZswTZ3","link*")</f>
        <v>link*</v>
      </c>
      <c r="N255" s="405"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c r="O255" s="368">
        <v>30</v>
      </c>
      <c r="P255" s="364" t="s">
        <v>27</v>
      </c>
      <c r="Q255" s="462">
        <v>10</v>
      </c>
      <c r="R255" s="388">
        <v>43624</v>
      </c>
      <c r="S255" s="419" t="s">
        <v>29</v>
      </c>
      <c r="T255" s="371">
        <v>43132</v>
      </c>
      <c r="U255" s="372"/>
    </row>
    <row r="256" spans="1:21" ht="13">
      <c r="A256" s="496" t="str">
        <f>HYPERLINK("https://phillipreeve.net/blog/review-sigma-35mm-1-4-art/","Sigma Art 1.4/35")</f>
        <v>Sigma Art 1.4/35</v>
      </c>
      <c r="B256" s="390">
        <v>740</v>
      </c>
      <c r="C256" s="477">
        <v>35</v>
      </c>
      <c r="D256" s="421">
        <v>1.4</v>
      </c>
      <c r="E256" s="486">
        <v>77</v>
      </c>
      <c r="F256" s="487">
        <v>94</v>
      </c>
      <c r="G256" s="419" t="s">
        <v>36</v>
      </c>
      <c r="H256" s="462" t="s">
        <v>73</v>
      </c>
      <c r="I256" s="462">
        <v>0.19</v>
      </c>
      <c r="J256" s="410">
        <v>899</v>
      </c>
      <c r="K256" s="405" t="str">
        <f>HYPERLINK("https://amzn.to/2LOaQcZ","link*")</f>
        <v>link*</v>
      </c>
      <c r="L256" s="405" t="str">
        <f>HYPERLINK("https://www.bhphotovideo.com/c/product/1393492-REG/sigma_35mm_f_1_4_dg_hsm.html/BI/19619/KBID/12129/DFF/d10-v21-t1-x881157/SID/EZ","link*")</f>
        <v>link*</v>
      </c>
      <c r="M256" s="405" t="str">
        <f>HYPERLINK("https://amzn.to/2ZrfakE","link*")</f>
        <v>link*</v>
      </c>
      <c r="N256" s="405"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O256" s="368">
        <v>30</v>
      </c>
      <c r="P256" s="364" t="s">
        <v>27</v>
      </c>
      <c r="Q256" s="462">
        <v>9</v>
      </c>
      <c r="R256" s="388">
        <v>43782</v>
      </c>
      <c r="S256" s="419" t="s">
        <v>47</v>
      </c>
      <c r="T256" s="371">
        <v>43221</v>
      </c>
      <c r="U256" s="372" t="s">
        <v>48</v>
      </c>
    </row>
    <row r="257" spans="1:21" ht="13" hidden="1">
      <c r="A257" s="500" t="s">
        <v>157</v>
      </c>
      <c r="B257" s="374">
        <v>280</v>
      </c>
      <c r="C257" s="477">
        <v>35</v>
      </c>
      <c r="D257" s="385">
        <v>1.8</v>
      </c>
      <c r="E257" s="489">
        <v>66</v>
      </c>
      <c r="F257" s="490">
        <v>73</v>
      </c>
      <c r="G257" s="419" t="s">
        <v>36</v>
      </c>
      <c r="H257" s="462" t="s">
        <v>147</v>
      </c>
      <c r="I257" s="468">
        <v>0.24</v>
      </c>
      <c r="J257" s="366">
        <v>749</v>
      </c>
      <c r="K257" s="419"/>
      <c r="L257" s="405" t="str">
        <f>HYPERLINK("https://www.bhphotovideo.com/c/product/1492866-REG/sony_sel35f18f_35mm_f_1_8_fe_lens.html/BI/19619/KBID/12129/DFF/d10-v21-t1-x975763/SID/EZ","link*")</f>
        <v>link*</v>
      </c>
      <c r="M257" s="405" t="str">
        <f>HYPERLINK("https://amzn.to/2PiATLC","link*")</f>
        <v>link*</v>
      </c>
      <c r="N257" s="405"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c r="O257" s="368">
        <v>22</v>
      </c>
      <c r="P257" s="364" t="s">
        <v>27</v>
      </c>
      <c r="Q257" s="462">
        <v>9</v>
      </c>
      <c r="R257" s="388">
        <v>43719</v>
      </c>
      <c r="S257" s="419" t="s">
        <v>41</v>
      </c>
      <c r="T257" s="371">
        <v>43647</v>
      </c>
      <c r="U257" s="372"/>
    </row>
    <row r="258" spans="1:21" ht="13" hidden="1">
      <c r="A258" s="496" t="str">
        <f>HYPERLINK("https://phillipreeve.net/blog/review-zeiss-loxia-35mm-2-0/","Zeiss Loxia 2/35 Biogon T*")</f>
        <v>Zeiss Loxia 2/35 Biogon T*</v>
      </c>
      <c r="B258" s="374">
        <v>340</v>
      </c>
      <c r="C258" s="477">
        <v>35</v>
      </c>
      <c r="D258" s="428">
        <v>2</v>
      </c>
      <c r="E258" s="435">
        <v>62</v>
      </c>
      <c r="F258" s="491">
        <v>66</v>
      </c>
      <c r="G258" s="485" t="s">
        <v>25</v>
      </c>
      <c r="H258" s="462" t="s">
        <v>131</v>
      </c>
      <c r="I258" s="462">
        <v>0.17</v>
      </c>
      <c r="J258" s="366">
        <v>1299</v>
      </c>
      <c r="K258" s="405" t="str">
        <f>HYPERLINK("https://amzn.to/2T2sJWe","link*")</f>
        <v>link*</v>
      </c>
      <c r="L258" s="405" t="str">
        <f>HYPERLINK("https://www.bhphotovideo.com/c/product/1080388-REG/zeiss_2103_749_loxia_35mm_f_2_biogon.html/BI/19619/KBID/12129/DFF/d10-v21-t1-x553792/SID/EZ","link*")</f>
        <v>link*</v>
      </c>
      <c r="M258" s="419" t="s">
        <v>51</v>
      </c>
      <c r="N258" s="405"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O258" s="368">
        <v>30</v>
      </c>
      <c r="P258" s="364" t="s">
        <v>27</v>
      </c>
      <c r="Q258" s="462">
        <v>10</v>
      </c>
      <c r="R258" s="388">
        <v>43625</v>
      </c>
      <c r="S258" s="419" t="s">
        <v>87</v>
      </c>
      <c r="T258" s="371">
        <v>41974</v>
      </c>
      <c r="U258" s="357" t="s">
        <v>166</v>
      </c>
    </row>
    <row r="259" spans="1:21" ht="13" hidden="1">
      <c r="A259" s="496" t="str">
        <f>HYPERLINK("http://www.photozone.de/sonyalphaff/865-zeiss35f28ff","Sony ZA 2.8/35")</f>
        <v>Sony ZA 2.8/35</v>
      </c>
      <c r="B259" s="416">
        <v>120</v>
      </c>
      <c r="C259" s="477">
        <v>35</v>
      </c>
      <c r="D259" s="391">
        <v>2.8</v>
      </c>
      <c r="E259" s="435">
        <v>62</v>
      </c>
      <c r="F259" s="444">
        <v>37</v>
      </c>
      <c r="G259" s="419" t="s">
        <v>36</v>
      </c>
      <c r="H259" s="462" t="s">
        <v>124</v>
      </c>
      <c r="I259" s="462">
        <v>0.12</v>
      </c>
      <c r="J259" s="366">
        <v>798</v>
      </c>
      <c r="K259" s="405" t="str">
        <f>HYPERLINK("https://amzn.to/2yvhL24","link*")</f>
        <v>link*</v>
      </c>
      <c r="L259" s="405" t="str">
        <f>HYPERLINK("https://www.bhphotovideo.com/c/product/1008123-REG/sony_sel35f28z_sonnar_t_fe_35mm.html/BI/19619/KBID/12129/DFF/d10-v21-t1-x466840/SID/EZ","link*")</f>
        <v>link*</v>
      </c>
      <c r="M259" s="419" t="s">
        <v>51</v>
      </c>
      <c r="N259" s="405"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c r="O259" s="368">
        <v>35</v>
      </c>
      <c r="P259" s="364" t="s">
        <v>27</v>
      </c>
      <c r="Q259" s="462">
        <v>9</v>
      </c>
      <c r="R259" s="388">
        <v>43592</v>
      </c>
      <c r="S259" s="419" t="s">
        <v>41</v>
      </c>
      <c r="T259" s="371">
        <v>41487</v>
      </c>
      <c r="U259" s="372"/>
    </row>
    <row r="260" spans="1:21" ht="13" hidden="1">
      <c r="A260" s="472" t="s">
        <v>158</v>
      </c>
      <c r="B260" s="416">
        <v>86</v>
      </c>
      <c r="C260" s="477">
        <v>35</v>
      </c>
      <c r="D260" s="391">
        <v>2.8</v>
      </c>
      <c r="E260" s="435">
        <v>62</v>
      </c>
      <c r="F260" s="492">
        <v>33</v>
      </c>
      <c r="G260" s="419" t="s">
        <v>36</v>
      </c>
      <c r="H260" s="462" t="s">
        <v>124</v>
      </c>
      <c r="I260" s="462">
        <v>0.12</v>
      </c>
      <c r="J260" s="493">
        <v>399</v>
      </c>
      <c r="K260" s="405" t="str">
        <f t="shared" ref="K260:K261" si="7">HYPERLINK("https://amzn.to/2MGKrxp","link*")</f>
        <v>link*</v>
      </c>
      <c r="L260" s="405" t="str">
        <f>HYPERLINK("https://www.bhphotovideo.com/c/product/1348365-REG/samyang_syio35af_e_35mm_f2_8_compact_wide.html/BI/19619/KBID/12129/DFF/d10-v21-t1-x832776/SID/EZ","link*")</f>
        <v>link*</v>
      </c>
      <c r="M260" s="419" t="s">
        <v>51</v>
      </c>
      <c r="N260" s="405"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O260" s="368">
        <v>35</v>
      </c>
      <c r="P260" s="364" t="s">
        <v>27</v>
      </c>
      <c r="Q260" s="462">
        <v>9</v>
      </c>
      <c r="R260" s="388">
        <v>43623</v>
      </c>
      <c r="S260" s="419" t="s">
        <v>38</v>
      </c>
      <c r="T260" s="371">
        <v>42917</v>
      </c>
      <c r="U260" s="372"/>
    </row>
    <row r="261" spans="1:21" ht="13" hidden="1">
      <c r="A261" s="496" t="str">
        <f>HYPERLINK("https://phillipreeve.net/blog/voigtlander-40mm-f1-2-nokton-aspherical-rolling-review/","Voigtlander 40mm F1.2 Nokton")</f>
        <v>Voigtlander 40mm F1.2 Nokton</v>
      </c>
      <c r="B261" s="359">
        <v>420</v>
      </c>
      <c r="C261" s="494">
        <v>40</v>
      </c>
      <c r="D261" s="478">
        <v>1.2</v>
      </c>
      <c r="E261" s="434">
        <v>70</v>
      </c>
      <c r="F261" s="495">
        <v>59</v>
      </c>
      <c r="G261" s="485" t="s">
        <v>25</v>
      </c>
      <c r="H261" s="462" t="s">
        <v>71</v>
      </c>
      <c r="I261" s="462">
        <v>0.16</v>
      </c>
      <c r="J261" s="366">
        <v>1099</v>
      </c>
      <c r="K261" s="405" t="str">
        <f t="shared" si="7"/>
        <v>link*</v>
      </c>
      <c r="L261" s="405" t="str">
        <f>HYPERLINK("https://www.bhphotovideo.com/c/product/1362557-REG/voigtlander_nokton_40mm_f_1_2_aspherical.html/BI/19619/KBID/12129/DFF/d10-v21-t1-x851241/SID/EZ","link*")</f>
        <v>link*</v>
      </c>
      <c r="M261" s="419" t="s">
        <v>51</v>
      </c>
      <c r="N261" s="405"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c r="O261" s="368">
        <v>35</v>
      </c>
      <c r="P261" s="364" t="s">
        <v>27</v>
      </c>
      <c r="Q261" s="462">
        <v>10</v>
      </c>
      <c r="R261" s="388">
        <v>43624</v>
      </c>
      <c r="S261" s="419" t="s">
        <v>29</v>
      </c>
      <c r="T261" s="371">
        <v>43040</v>
      </c>
      <c r="U261" s="372"/>
    </row>
    <row r="262" spans="1:21" ht="13">
      <c r="A262" s="496" t="str">
        <f>HYPERLINK("https://phillipreeve.net/blog/review-sigma-40mm-1-4-art/","Sigma Art 1.4/40")</f>
        <v>Sigma Art 1.4/40</v>
      </c>
      <c r="B262" s="383">
        <v>1200</v>
      </c>
      <c r="C262" s="494">
        <v>40</v>
      </c>
      <c r="D262" s="421">
        <v>1.4</v>
      </c>
      <c r="E262" s="446">
        <v>88</v>
      </c>
      <c r="F262" s="474">
        <v>157</v>
      </c>
      <c r="G262" s="419" t="s">
        <v>36</v>
      </c>
      <c r="H262" s="497" t="s">
        <v>68</v>
      </c>
      <c r="I262" s="462">
        <v>0.15</v>
      </c>
      <c r="J262" s="366">
        <v>1399</v>
      </c>
      <c r="K262" s="405" t="str">
        <f>HYPERLINK("https://amzn.to/2SYXFXq","link*")</f>
        <v>link*</v>
      </c>
      <c r="L262" s="405" t="str">
        <f>HYPERLINK("https://www.bhphotovideo.com/c/product/1436292-REG/sigma_40mm_f_1_4_dg_hsm.html/BI/19619/KBID/12129/DFF/d10-v21-t1-x925196/SID/EZ","link*")</f>
        <v>link*</v>
      </c>
      <c r="M262" s="419" t="s">
        <v>51</v>
      </c>
      <c r="N262" s="405"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O262" s="368">
        <v>40</v>
      </c>
      <c r="P262" s="364" t="s">
        <v>27</v>
      </c>
      <c r="Q262" s="462">
        <v>9</v>
      </c>
      <c r="R262" s="388">
        <v>43815</v>
      </c>
      <c r="S262" s="419" t="s">
        <v>47</v>
      </c>
      <c r="T262" s="371">
        <v>43435</v>
      </c>
      <c r="U262" s="372" t="s">
        <v>48</v>
      </c>
    </row>
    <row r="263" spans="1:21" ht="13" hidden="1">
      <c r="A263" s="496" t="str">
        <f>HYPERLINK("https://phillipreeve.net/blog/review-zeiss-batis-2-40-cf/","Zeiss Batis 2/40 CF T*")</f>
        <v>Zeiss Batis 2/40 CF T*</v>
      </c>
      <c r="B263" s="374">
        <v>361</v>
      </c>
      <c r="C263" s="494">
        <v>40</v>
      </c>
      <c r="D263" s="428">
        <v>2</v>
      </c>
      <c r="E263" s="498">
        <v>91</v>
      </c>
      <c r="F263" s="499">
        <v>93</v>
      </c>
      <c r="G263" s="419" t="s">
        <v>36</v>
      </c>
      <c r="H263" s="462" t="s">
        <v>73</v>
      </c>
      <c r="I263" s="468">
        <v>0.3</v>
      </c>
      <c r="J263" s="366">
        <v>1299</v>
      </c>
      <c r="K263" s="405" t="str">
        <f>HYPERLINK("https://amzn.to/2LUN0MF","link*")</f>
        <v>link*</v>
      </c>
      <c r="L263" s="405" t="str">
        <f>HYPERLINK("https://www.bhphotovideo.com/c/product/1436738-REG/zeiss_000000_2239_137_batis_40mm_f_2_cf.html/BI/19619/KBID/12129/DFF/d10-v21-t1-x915694/SID/EZ","link*")</f>
        <v>link*</v>
      </c>
      <c r="M263" s="419" t="s">
        <v>51</v>
      </c>
      <c r="N263" s="405"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O263" s="368">
        <v>24</v>
      </c>
      <c r="P263" s="364" t="s">
        <v>27</v>
      </c>
      <c r="Q263" s="462">
        <v>9</v>
      </c>
      <c r="R263" s="388">
        <v>43686</v>
      </c>
      <c r="S263" s="419" t="s">
        <v>87</v>
      </c>
      <c r="T263" s="371">
        <v>43435</v>
      </c>
      <c r="U263" s="357" t="s">
        <v>159</v>
      </c>
    </row>
    <row r="264" spans="1:21" ht="13" hidden="1">
      <c r="A264" s="500" t="s">
        <v>160</v>
      </c>
      <c r="B264" s="416">
        <v>162</v>
      </c>
      <c r="C264" s="501">
        <v>45</v>
      </c>
      <c r="D264" s="385">
        <v>1.8</v>
      </c>
      <c r="E264" s="435">
        <v>62</v>
      </c>
      <c r="F264" s="502">
        <v>56</v>
      </c>
      <c r="G264" s="419" t="s">
        <v>36</v>
      </c>
      <c r="H264" s="462" t="s">
        <v>124</v>
      </c>
      <c r="I264" s="462">
        <v>0.12</v>
      </c>
      <c r="J264" s="431">
        <v>399</v>
      </c>
      <c r="K264" s="405" t="str">
        <f>HYPERLINK("https://amzn.to/2YC6MST","link*")</f>
        <v>link*</v>
      </c>
      <c r="L264" s="405" t="str">
        <f>HYPERLINK("https://www.bhphotovideo.com/c/product/1478738-REG/samyang_af_45mm_f_1_8_fe.html/BI/19619/KBID/12129/DFF/d10-v21-t1-x964329/SID/EZ","link*")</f>
        <v>link*</v>
      </c>
      <c r="M264" s="419" t="s">
        <v>51</v>
      </c>
      <c r="N264" s="405"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c r="O264" s="368">
        <v>45</v>
      </c>
      <c r="P264" s="364" t="s">
        <v>27</v>
      </c>
      <c r="Q264" s="462">
        <v>9</v>
      </c>
      <c r="R264" s="388">
        <v>43623</v>
      </c>
      <c r="S264" s="419" t="s">
        <v>38</v>
      </c>
      <c r="T264" s="371">
        <v>43647</v>
      </c>
      <c r="U264" s="372"/>
    </row>
    <row r="265" spans="1:21" ht="13">
      <c r="A265" s="500" t="s">
        <v>161</v>
      </c>
      <c r="B265" s="374">
        <v>215</v>
      </c>
      <c r="C265" s="501">
        <v>45</v>
      </c>
      <c r="D265" s="391">
        <v>2.8</v>
      </c>
      <c r="E265" s="435">
        <v>64</v>
      </c>
      <c r="F265" s="503">
        <v>46</v>
      </c>
      <c r="G265" s="419" t="s">
        <v>36</v>
      </c>
      <c r="H265" s="462" t="s">
        <v>147</v>
      </c>
      <c r="I265" s="468">
        <v>0.25</v>
      </c>
      <c r="J265" s="366">
        <v>549</v>
      </c>
      <c r="K265" s="405" t="str">
        <f>HYPERLINK("https://amzn.to/2SYEvAX","link*")</f>
        <v>link*</v>
      </c>
      <c r="L265" s="405" t="str">
        <f>HYPERLINK("https://www.bhphotovideo.com/c/product/1492966-REG/sigma_360965_45mm_f_2_8_dg_dn.html/BI/19619/KBID/12129/DFF/d10-v21-t1-x976020/SID/EZ","link*")</f>
        <v>link*</v>
      </c>
      <c r="M265" s="419" t="s">
        <v>51</v>
      </c>
      <c r="N265" s="405"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O265" s="368">
        <v>24</v>
      </c>
      <c r="P265" s="364" t="s">
        <v>27</v>
      </c>
      <c r="Q265" s="462">
        <v>7</v>
      </c>
      <c r="R265" s="388">
        <v>43654</v>
      </c>
      <c r="S265" s="419" t="s">
        <v>47</v>
      </c>
      <c r="T265" s="371">
        <v>43647</v>
      </c>
      <c r="U265" s="357" t="s">
        <v>162</v>
      </c>
    </row>
    <row r="266" spans="1:21" ht="13" hidden="1">
      <c r="A266" s="504" t="str">
        <f>HYPERLINK("https://phillipreeve.net/blog/review-voigtlander-50mm-1-2-nokton-e/","Voigtlander 50mm F1.2 Nokton")</f>
        <v>Voigtlander 50mm F1.2 Nokton</v>
      </c>
      <c r="B266" s="359">
        <v>440</v>
      </c>
      <c r="C266" s="505">
        <v>50</v>
      </c>
      <c r="D266" s="478">
        <v>1.2</v>
      </c>
      <c r="E266" s="434">
        <v>70</v>
      </c>
      <c r="F266" s="506">
        <v>58</v>
      </c>
      <c r="G266" s="485" t="s">
        <v>25</v>
      </c>
      <c r="H266" s="462" t="s">
        <v>71</v>
      </c>
      <c r="I266" s="419"/>
      <c r="J266" s="366">
        <v>1099</v>
      </c>
      <c r="K266" s="405" t="str">
        <f>HYPERLINK("https://amzn.to/2OAfE7N","link*")</f>
        <v>link*</v>
      </c>
      <c r="L266" s="405" t="str">
        <f>HYPERLINK("https://www.bhphotovideo.com/c/product/1433349-REG/voigtlander_ba348a_nokton_50mm_f_1_2_aspherical.html/BI/19619/KBID/12129/DFF/d10-v21-t1-x915623/SID/EZ","link*")</f>
        <v>link*</v>
      </c>
      <c r="M266" s="419" t="s">
        <v>51</v>
      </c>
      <c r="N266" s="405" t="e">
        <f>HYPERLINK("http://rover.ebay.com/rover/1/711-53200-19255-0/1?icep_ff3=9&amp;pub=5575076376&amp;toolid=10001&amp;campid=5338164340&amp;customid=&amp;icep_uq=sony+50+1.2&amp;icep_sellerId=&amp;icep_ex_kw=&amp;icep_sortBy=12&amp;icep_catId=3323&amp;icep_minPrice=&amp;icep_maxPrice=&amp;ipn=psmain&amp;icep_vectorid=22946"&amp;"6&amp;kwid=902099&amp;mtid=824&amp;kw=lg","link*")</f>
        <v>#VALUE!</v>
      </c>
      <c r="O266" s="368">
        <v>45</v>
      </c>
      <c r="P266" s="364" t="s">
        <v>27</v>
      </c>
      <c r="Q266" s="462">
        <v>12</v>
      </c>
      <c r="R266" s="388">
        <v>43624</v>
      </c>
      <c r="S266" s="419" t="s">
        <v>29</v>
      </c>
      <c r="T266" s="371">
        <v>43556</v>
      </c>
      <c r="U266" s="372"/>
    </row>
    <row r="267" spans="1:21" ht="13" hidden="1">
      <c r="A267" s="472" t="s">
        <v>163</v>
      </c>
      <c r="B267" s="390">
        <v>778</v>
      </c>
      <c r="C267" s="505">
        <v>50</v>
      </c>
      <c r="D267" s="421">
        <v>1.4</v>
      </c>
      <c r="E267" s="507">
        <v>84</v>
      </c>
      <c r="F267" s="508">
        <v>108</v>
      </c>
      <c r="G267" s="419" t="s">
        <v>36</v>
      </c>
      <c r="H267" s="462" t="s">
        <v>64</v>
      </c>
      <c r="I267" s="462">
        <v>0.15</v>
      </c>
      <c r="J267" s="366">
        <v>1499</v>
      </c>
      <c r="K267" s="405" t="str">
        <f>HYPERLINK("https://amzn.to/2K88EL7","link*")</f>
        <v>link*</v>
      </c>
      <c r="L267" s="419" t="s">
        <v>51</v>
      </c>
      <c r="M267" s="419" t="s">
        <v>51</v>
      </c>
      <c r="N267" s="405"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c r="O267" s="368">
        <v>45</v>
      </c>
      <c r="P267" s="364" t="s">
        <v>27</v>
      </c>
      <c r="Q267" s="462">
        <v>11</v>
      </c>
      <c r="R267" s="388">
        <v>43720</v>
      </c>
      <c r="S267" s="419" t="s">
        <v>41</v>
      </c>
      <c r="T267" s="371">
        <v>42583</v>
      </c>
      <c r="U267" s="372"/>
    </row>
    <row r="268" spans="1:21" ht="13">
      <c r="A268" s="472" t="s">
        <v>164</v>
      </c>
      <c r="B268" s="390">
        <v>815</v>
      </c>
      <c r="C268" s="505">
        <v>50</v>
      </c>
      <c r="D268" s="421">
        <v>1.4</v>
      </c>
      <c r="E268" s="442">
        <v>85</v>
      </c>
      <c r="F268" s="509">
        <v>100</v>
      </c>
      <c r="G268" s="419" t="s">
        <v>36</v>
      </c>
      <c r="H268" s="462" t="s">
        <v>80</v>
      </c>
      <c r="I268" s="462">
        <v>0.18</v>
      </c>
      <c r="J268" s="366">
        <v>949</v>
      </c>
      <c r="K268" s="405" t="str">
        <f>HYPERLINK("https://amzn.to/2K4JmyT","link*")</f>
        <v>link*</v>
      </c>
      <c r="L268" s="405" t="str">
        <f>HYPERLINK("https://www.bhphotovideo.com/c/product/1393493-REG/sigma_50mm_f_1_4_dg_hsm.html/BI/19619/KBID/12129/kw/SI5014SO/DFF/d10-v2-t1-xSI5014SO","link*")</f>
        <v>link*</v>
      </c>
      <c r="M268" s="405" t="str">
        <f>HYPERLINK("https://amzn.to/2Wpdoz5","link*")</f>
        <v>link*</v>
      </c>
      <c r="N268" s="405" t="e">
        <f>HYPERLINK("http://rover.ebay.com/rover/1/711-53200-19255-0/1?icep_ff3=9&amp;pub=5575076376&amp;toolid=10001&amp;campid=5338164340&amp;customid=&amp;icep_uq=sony+50+1.4+za+-ssm&amp;icep_sellerId=&amp;icep_ex_kw=&amp;icep_sortBy=12&amp;icep_catId=3323&amp;icep_minPrice=&amp;icep_maxPrice=&amp;ipn=psmain&amp;icep_vector"&amp;"id=229466&amp;kwid=902099&amp;mtid=824&amp;kw=lg","link*")</f>
        <v>#VALUE!</v>
      </c>
      <c r="O268" s="368">
        <v>40</v>
      </c>
      <c r="P268" s="364" t="s">
        <v>27</v>
      </c>
      <c r="Q268" s="462">
        <v>9</v>
      </c>
      <c r="R268" s="388">
        <v>43690</v>
      </c>
      <c r="S268" s="419" t="s">
        <v>47</v>
      </c>
      <c r="T268" s="371">
        <v>43221</v>
      </c>
      <c r="U268" s="372" t="s">
        <v>48</v>
      </c>
    </row>
    <row r="269" spans="1:21" ht="13" hidden="1">
      <c r="A269" s="472" t="s">
        <v>165</v>
      </c>
      <c r="B269" s="359">
        <v>585</v>
      </c>
      <c r="C269" s="505">
        <v>50</v>
      </c>
      <c r="D269" s="421">
        <v>1.4</v>
      </c>
      <c r="E269" s="510">
        <v>74</v>
      </c>
      <c r="F269" s="395">
        <v>98</v>
      </c>
      <c r="G269" s="419" t="s">
        <v>36</v>
      </c>
      <c r="H269" s="462" t="s">
        <v>73</v>
      </c>
      <c r="I269" s="462">
        <v>0.15</v>
      </c>
      <c r="J269" s="366">
        <v>699</v>
      </c>
      <c r="K269" s="405" t="str">
        <f>HYPERLINK("https://amzn.to/2SY1Pyr","link*")</f>
        <v>link*</v>
      </c>
      <c r="L269" s="405" t="str">
        <f>HYPERLINK("https://www.bhphotovideo.com/c/product/1352862-REG/samyang_syio50af_e_50mm_f_1_4_auto_focus.html/BI/19619/KBID/12129/DFF/d10-v21-t1-x837927/SID/EZ","link*")</f>
        <v>link*</v>
      </c>
      <c r="M269" s="419" t="s">
        <v>51</v>
      </c>
      <c r="N269" s="405"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c r="O269" s="368">
        <v>45</v>
      </c>
      <c r="P269" s="364" t="s">
        <v>27</v>
      </c>
      <c r="Q269" s="462">
        <v>9</v>
      </c>
      <c r="R269" s="388">
        <v>43686</v>
      </c>
      <c r="S269" s="419" t="s">
        <v>38</v>
      </c>
      <c r="T269" s="371">
        <v>42583</v>
      </c>
      <c r="U269" s="372"/>
    </row>
    <row r="270" spans="1:21" ht="13" hidden="1">
      <c r="A270" s="496" t="str">
        <f>HYPERLINK("https://phillipreeve.net/blog/review-sony-fe-1-850/","Sony 50mm F1.8")</f>
        <v>Sony 50mm F1.8</v>
      </c>
      <c r="B270" s="416">
        <v>186</v>
      </c>
      <c r="C270" s="505">
        <v>50</v>
      </c>
      <c r="D270" s="385">
        <v>1.8</v>
      </c>
      <c r="E270" s="429">
        <v>69</v>
      </c>
      <c r="F270" s="466">
        <v>60</v>
      </c>
      <c r="G270" s="419" t="s">
        <v>36</v>
      </c>
      <c r="H270" s="462" t="s">
        <v>124</v>
      </c>
      <c r="I270" s="462">
        <v>0.14000000000000001</v>
      </c>
      <c r="J270" s="410">
        <v>249</v>
      </c>
      <c r="K270" s="405" t="str">
        <f>HYPERLINK("http://amzn.to/2v2F5Se","link*")</f>
        <v>link*</v>
      </c>
      <c r="L270" s="405" t="str">
        <f>HYPERLINK("https://www.bhphotovideo.com/c/product/1242613-REG/sony_sel50f18f_fe_50mm_f_1_8_lens.html/BI/19619/KBID/12129/kw/SO5018F/DFF/d10-v2-t1-xSO5018F","link*")</f>
        <v>link*</v>
      </c>
      <c r="M270" s="405" t="str">
        <f>HYPERLINK("http://amzn.to/2wyHB25","link*")</f>
        <v>link*</v>
      </c>
      <c r="N270" s="405"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c r="O270" s="368">
        <v>45</v>
      </c>
      <c r="P270" s="364" t="s">
        <v>27</v>
      </c>
      <c r="Q270" s="462">
        <v>7</v>
      </c>
      <c r="R270" s="388">
        <v>43591</v>
      </c>
      <c r="S270" s="419" t="s">
        <v>41</v>
      </c>
      <c r="T270" s="371">
        <v>42430</v>
      </c>
      <c r="U270" s="372"/>
    </row>
    <row r="271" spans="1:21" ht="13" hidden="1">
      <c r="A271" s="496" t="str">
        <f>HYPERLINK("https://phillipreeve.net/blog/review-zeiss-loxia-planar-250-t/","Zeiss Loxia 50mm F2")</f>
        <v>Zeiss Loxia 50mm F2</v>
      </c>
      <c r="B271" s="374">
        <v>320</v>
      </c>
      <c r="C271" s="505">
        <v>50</v>
      </c>
      <c r="D271" s="428">
        <v>2</v>
      </c>
      <c r="E271" s="435">
        <v>62</v>
      </c>
      <c r="F271" s="466">
        <v>60</v>
      </c>
      <c r="G271" s="485" t="s">
        <v>25</v>
      </c>
      <c r="H271" s="462" t="s">
        <v>131</v>
      </c>
      <c r="I271" s="462">
        <v>0.15</v>
      </c>
      <c r="J271" s="366">
        <v>949</v>
      </c>
      <c r="K271" s="405" t="str">
        <f>HYPERLINK("http://amzn.to/2faVsIu","link*")</f>
        <v>link*</v>
      </c>
      <c r="L271" s="405" t="str">
        <f>HYPERLINK("https://www.bhphotovideo.com/c/product/1080387-REG/zeiss_2103_748_loxia_50mm_f_2_planar.html/BI/19619/KBID/12129/kw/ZE502LFE/DFF/d10-v2-t1-xZE502LFE","link*")</f>
        <v>link*</v>
      </c>
      <c r="M271" s="405" t="str">
        <f>HYPERLINK("http://amzn.to/2wyJAU4","link*")</f>
        <v>link*</v>
      </c>
      <c r="N271" s="405"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O271" s="368">
        <v>45</v>
      </c>
      <c r="P271" s="364" t="s">
        <v>27</v>
      </c>
      <c r="Q271" s="462">
        <v>10</v>
      </c>
      <c r="R271" s="388">
        <v>43561</v>
      </c>
      <c r="S271" s="419" t="s">
        <v>87</v>
      </c>
      <c r="T271" s="371">
        <v>41913</v>
      </c>
      <c r="U271" s="357" t="s">
        <v>166</v>
      </c>
    </row>
    <row r="272" spans="1:21" ht="13" hidden="1">
      <c r="A272" s="496" t="str">
        <f>HYPERLINK("https://phillipreeve.net/blog/rolling-review-sony-fe-2-850-macro/","Sony 50mm F/2.8 Macro")</f>
        <v>Sony 50mm F/2.8 Macro</v>
      </c>
      <c r="B272" s="374">
        <v>236</v>
      </c>
      <c r="C272" s="505">
        <v>50</v>
      </c>
      <c r="D272" s="385">
        <v>1.8</v>
      </c>
      <c r="E272" s="511">
        <v>72</v>
      </c>
      <c r="F272" s="512">
        <v>71</v>
      </c>
      <c r="G272" s="419" t="s">
        <v>36</v>
      </c>
      <c r="H272" s="462" t="s">
        <v>147</v>
      </c>
      <c r="I272" s="513">
        <v>1</v>
      </c>
      <c r="J272" s="431">
        <v>499</v>
      </c>
      <c r="K272" s="405" t="str">
        <f>HYPERLINK("http://amzn.to/2v2g0qz","link*")</f>
        <v>link*</v>
      </c>
      <c r="L272" s="405" t="str">
        <f>HYPERLINK("https://www.bhphotovideo.com/c/product/1277527-REG/sony_sel50m28_fe_50mm_f_2_8_macro.html/BI/19619/KBID/12129/kw/SO5028FF/DFF/d10-v2-t1-xSO5028FF","link*")</f>
        <v>link*</v>
      </c>
      <c r="M272" s="405" t="str">
        <f>HYPERLINK("http://amzn.to/2vbknRN","link*")</f>
        <v>link*</v>
      </c>
      <c r="N272" s="405"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O272" s="368">
        <v>16</v>
      </c>
      <c r="P272" s="364" t="s">
        <v>27</v>
      </c>
      <c r="Q272" s="462">
        <v>7</v>
      </c>
      <c r="R272" s="388">
        <v>43654</v>
      </c>
      <c r="S272" s="419" t="s">
        <v>41</v>
      </c>
      <c r="T272" s="371">
        <v>42614</v>
      </c>
      <c r="U272" s="372"/>
    </row>
    <row r="273" spans="1:21" ht="13" hidden="1">
      <c r="A273" s="496" t="str">
        <f>HYPERLINK("https://phillipreeve.net/blog/sony-fe-1-855-za-sonnar-t-review/","Sony ZA 55mm F1.8 Sonnar")</f>
        <v>Sony ZA 55mm F1.8 Sonnar</v>
      </c>
      <c r="B273" s="374">
        <v>281</v>
      </c>
      <c r="C273" s="514">
        <v>55</v>
      </c>
      <c r="D273" s="385">
        <v>1.8</v>
      </c>
      <c r="E273" s="435">
        <v>64</v>
      </c>
      <c r="F273" s="512">
        <v>71</v>
      </c>
      <c r="G273" s="419" t="s">
        <v>36</v>
      </c>
      <c r="H273" s="462" t="s">
        <v>124</v>
      </c>
      <c r="I273" s="462">
        <v>0.14000000000000001</v>
      </c>
      <c r="J273" s="366">
        <v>999</v>
      </c>
      <c r="K273" s="405" t="str">
        <f>HYPERLINK("https://amzn.to/2ywdgEk","link*")</f>
        <v>link*</v>
      </c>
      <c r="L273" s="405" t="str">
        <f>HYPERLINK("https://www.bhphotovideo.com/c/product/1008124-REG/sony_sel55f18z_sonnar_t_fe_55mm.html/BI/19619/KBID/12129/DFF/d10-v21-t1-x466841/SID/EZ","link*")</f>
        <v>link*</v>
      </c>
      <c r="M273" s="419" t="s">
        <v>51</v>
      </c>
      <c r="N273" s="405"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O273" s="368">
        <v>50</v>
      </c>
      <c r="P273" s="364" t="s">
        <v>27</v>
      </c>
      <c r="Q273" s="462">
        <v>9</v>
      </c>
      <c r="R273" s="388">
        <v>43592</v>
      </c>
      <c r="S273" s="419" t="s">
        <v>41</v>
      </c>
      <c r="T273" s="371">
        <v>41548</v>
      </c>
      <c r="U273" s="372"/>
    </row>
    <row r="274" spans="1:21" ht="13" hidden="1">
      <c r="A274" s="496" t="str">
        <f>HYPERLINK("https://phillipreeve.net/blog/voigtlander-65-f2-apo-macro-review/","Voigtlander Macro 65mm F2 Apo Lanthar")</f>
        <v>Voigtlander Macro 65mm F2 Apo Lanthar</v>
      </c>
      <c r="B274" s="359">
        <v>635</v>
      </c>
      <c r="C274" s="515">
        <v>65</v>
      </c>
      <c r="D274" s="428">
        <v>2</v>
      </c>
      <c r="E274" s="516">
        <v>78</v>
      </c>
      <c r="F274" s="517">
        <v>91</v>
      </c>
      <c r="G274" s="485" t="s">
        <v>25</v>
      </c>
      <c r="H274" s="462" t="s">
        <v>73</v>
      </c>
      <c r="I274" s="518">
        <v>0.5</v>
      </c>
      <c r="J274" s="366">
        <v>999</v>
      </c>
      <c r="K274" s="405" t="str">
        <f>HYPERLINK("https://amzn.to/2LU48SI","link*")</f>
        <v>link*</v>
      </c>
      <c r="L274" s="405" t="str">
        <f>HYPERLINK("https://www.bhphotovideo.com/c/product/1350400-REG/voigtlander_macro_apo_lanthar_65mm_f2.html/BI/19619/KBID/12129/DFF/d10-v21-t1-x835677/SID/EZ","link*")</f>
        <v>link*</v>
      </c>
      <c r="M274" s="419" t="s">
        <v>51</v>
      </c>
      <c r="N274" s="405"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O274" s="368">
        <v>31</v>
      </c>
      <c r="P274" s="364" t="s">
        <v>27</v>
      </c>
      <c r="Q274" s="462">
        <v>10</v>
      </c>
      <c r="R274" s="388">
        <v>43687</v>
      </c>
      <c r="S274" s="419" t="s">
        <v>29</v>
      </c>
      <c r="T274" s="519">
        <v>42917</v>
      </c>
      <c r="U274" s="372"/>
    </row>
    <row r="275" spans="1:21" ht="13">
      <c r="A275" s="472" t="s">
        <v>167</v>
      </c>
      <c r="B275" s="359">
        <v>562</v>
      </c>
      <c r="C275" s="520">
        <v>70</v>
      </c>
      <c r="D275" s="391">
        <v>2.8</v>
      </c>
      <c r="E275" s="521">
        <v>71</v>
      </c>
      <c r="F275" s="522">
        <v>106</v>
      </c>
      <c r="G275" s="419" t="s">
        <v>36</v>
      </c>
      <c r="H275" s="462" t="s">
        <v>124</v>
      </c>
      <c r="I275" s="513">
        <v>1</v>
      </c>
      <c r="J275" s="493">
        <v>569</v>
      </c>
      <c r="K275" s="405" t="str">
        <f>HYPERLINK("https://amzn.to/2YGO9te","link*")</f>
        <v>link*</v>
      </c>
      <c r="L275" s="405" t="str">
        <f>HYPERLINK("https://www.bhphotovideo.com/c/product/1393483-REG/sigma_70mm_f_2_8_dg_macro.html/BI/19619/KBID/12129/DFF/d10-v21-t1-x895111/SID/EZ","link*")</f>
        <v>link*</v>
      </c>
      <c r="M275" s="419" t="s">
        <v>51</v>
      </c>
      <c r="N275" s="405" t="e">
        <f>HYPERLINK("http://rover.ebay.com/rover/1/711-53200-19255-0/1?icep_ff3=9&amp;pub=5575076376&amp;toolid=10001&amp;campid=5338164340&amp;customid=&amp;icep_uq=sigma+70+2.8+macro+sony&amp;icep_sellerId=&amp;icep_ex_kw=&amp;icep_sortBy=12&amp;icep_catId=3323&amp;icep_minPrice=&amp;icep_maxPrice=&amp;ipn=psmain&amp;icep_ve"&amp;"ctorid=229466&amp;kwid=902099&amp;mtid=824&amp;kw=lg","link*")</f>
        <v>#VALUE!</v>
      </c>
      <c r="O275" s="368">
        <v>26</v>
      </c>
      <c r="P275" s="364" t="s">
        <v>27</v>
      </c>
      <c r="Q275" s="462">
        <v>9</v>
      </c>
      <c r="R275" s="388">
        <v>43751</v>
      </c>
      <c r="S275" s="419" t="s">
        <v>47</v>
      </c>
      <c r="T275" s="371">
        <v>43221</v>
      </c>
      <c r="U275" s="372" t="s">
        <v>48</v>
      </c>
    </row>
    <row r="276" spans="1:21" ht="13" hidden="1">
      <c r="A276" s="472" t="s">
        <v>168</v>
      </c>
      <c r="B276" s="383">
        <v>1480</v>
      </c>
      <c r="C276" s="520">
        <v>70</v>
      </c>
      <c r="D276" s="391">
        <v>2.8</v>
      </c>
      <c r="E276" s="446">
        <v>88</v>
      </c>
      <c r="F276" s="474">
        <v>200</v>
      </c>
      <c r="G276" s="419" t="s">
        <v>36</v>
      </c>
      <c r="H276" s="462" t="s">
        <v>80</v>
      </c>
      <c r="I276" s="468">
        <v>0.25</v>
      </c>
      <c r="J276" s="366">
        <v>2599</v>
      </c>
      <c r="K276" s="405" t="str">
        <f>HYPERLINK("https://amzn.to/2KbaJGn","link*")</f>
        <v>link*</v>
      </c>
      <c r="L276" s="405" t="str">
        <f>HYPERLINK("https://www.bhphotovideo.com/c/product/1222776-REG/sony_sel70200gm_fe_70_200mm_f_2_8_gm.html/BI/19619/KBID/12129/DFF/d10-v21-t1-x746807/SID/EZ","link*")</f>
        <v>link*</v>
      </c>
      <c r="M276" s="419" t="s">
        <v>51</v>
      </c>
      <c r="N276" s="405"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c r="O276" s="368">
        <v>96</v>
      </c>
      <c r="P276" s="471" t="s">
        <v>66</v>
      </c>
      <c r="Q276" s="462">
        <v>11</v>
      </c>
      <c r="R276" s="523" t="s">
        <v>169</v>
      </c>
      <c r="S276" s="419" t="s">
        <v>41</v>
      </c>
      <c r="T276" s="371">
        <v>42401</v>
      </c>
      <c r="U276" s="372"/>
    </row>
    <row r="277" spans="1:21" ht="13" hidden="1">
      <c r="A277" s="472" t="s">
        <v>170</v>
      </c>
      <c r="B277" s="390">
        <v>854</v>
      </c>
      <c r="C277" s="520">
        <v>70</v>
      </c>
      <c r="D277" s="449" t="s">
        <v>171</v>
      </c>
      <c r="E277" s="507">
        <v>84</v>
      </c>
      <c r="F277" s="524">
        <v>144</v>
      </c>
      <c r="G277" s="419" t="s">
        <v>36</v>
      </c>
      <c r="H277" s="462" t="s">
        <v>64</v>
      </c>
      <c r="I277" s="468">
        <v>0.31</v>
      </c>
      <c r="J277" s="366">
        <v>1198</v>
      </c>
      <c r="K277" s="405" t="str">
        <f>HYPERLINK("https://amzn.to/2SVN1Ao","link*")</f>
        <v>link*</v>
      </c>
      <c r="L277" s="405" t="str">
        <f>HYPERLINK("https://www.bhphotovideo.com/c/product/1242614-REG/sony_sel70300g_fe_70_300mm_f_4_5_5_6_g.html/BI/19619/KBID/12129/DFF/d10-v21-t1-x722726/SID/EZ","link*")</f>
        <v>link*</v>
      </c>
      <c r="M277" s="419" t="s">
        <v>51</v>
      </c>
      <c r="N277" s="405"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c r="O277" s="368">
        <v>90</v>
      </c>
      <c r="P277" s="471" t="s">
        <v>66</v>
      </c>
      <c r="Q277" s="462">
        <v>9</v>
      </c>
      <c r="R277" s="523" t="s">
        <v>72</v>
      </c>
      <c r="S277" s="419" t="s">
        <v>41</v>
      </c>
      <c r="T277" s="371">
        <v>42430</v>
      </c>
      <c r="U277" s="372"/>
    </row>
    <row r="278" spans="1:21" ht="13" hidden="1">
      <c r="A278" s="496" t="str">
        <f>HYPERLINK("https://phillipreeve.net/blog/review-sony-fe-470-200-g-oss/https://phillipreeve.net/blog/review-sony-fe-470-200-g-oss/","Sony G 4/70-200 OSS")</f>
        <v>Sony G 4/70-200 OSS</v>
      </c>
      <c r="B278" s="390">
        <v>840</v>
      </c>
      <c r="C278" s="520">
        <v>70</v>
      </c>
      <c r="D278" s="361">
        <v>4</v>
      </c>
      <c r="E278" s="450">
        <v>80</v>
      </c>
      <c r="F278" s="474">
        <v>175</v>
      </c>
      <c r="G278" s="419" t="s">
        <v>36</v>
      </c>
      <c r="H278" s="462" t="s">
        <v>64</v>
      </c>
      <c r="I278" s="462">
        <v>0.18</v>
      </c>
      <c r="J278" s="366">
        <v>1498</v>
      </c>
      <c r="K278" s="405" t="str">
        <f>HYPERLINK("http://amzn.to/2fbeX3x","link*")</f>
        <v>link*</v>
      </c>
      <c r="L278" s="405" t="str">
        <f>HYPERLINK("https://www.bhphotovideo.com/c/product/1380865-REG/sony_fe_70_200mm_f_4_g.html/BI/19619/KBID/12129/kw/SO702004F/DFF/d10-v2-t1-xSO702004F","link*")</f>
        <v>link*</v>
      </c>
      <c r="M278" s="405" t="str">
        <f>HYPERLINK("http://amzn.to/2vbFQKj","link*")</f>
        <v>link*</v>
      </c>
      <c r="N278" s="405"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O278" s="368">
        <v>100</v>
      </c>
      <c r="P278" s="471" t="s">
        <v>66</v>
      </c>
      <c r="Q278" s="462">
        <v>9</v>
      </c>
      <c r="R278" s="523" t="s">
        <v>173</v>
      </c>
      <c r="S278" s="419" t="s">
        <v>41</v>
      </c>
      <c r="T278" s="371">
        <v>41548</v>
      </c>
      <c r="U278" s="372"/>
    </row>
    <row r="279" spans="1:21" ht="13" hidden="1">
      <c r="A279" s="496" t="str">
        <f>HYPERLINK("https://phillipreeve.net/blog/review-sony-fe-85mm-1-4-gm/","Sony GM 1.4/85")</f>
        <v>Sony GM 1.4/85</v>
      </c>
      <c r="B279" s="390">
        <v>854</v>
      </c>
      <c r="C279" s="525">
        <v>85</v>
      </c>
      <c r="D279" s="421">
        <v>1.4</v>
      </c>
      <c r="E279" s="507">
        <v>84</v>
      </c>
      <c r="F279" s="508">
        <v>108</v>
      </c>
      <c r="G279" s="419" t="s">
        <v>36</v>
      </c>
      <c r="H279" s="462" t="s">
        <v>80</v>
      </c>
      <c r="I279" s="462">
        <v>0.12</v>
      </c>
      <c r="J279" s="366">
        <v>1799</v>
      </c>
      <c r="K279" s="405" t="str">
        <f>HYPERLINK("https://amzn.to/2SZeKAh","link*")</f>
        <v>link*</v>
      </c>
      <c r="L279" s="405" t="str">
        <f>HYPERLINK("https://www.bhphotovideo.com/c/product/1222775-REG/sony_sel85f14gm_fe_85mm_f_1_4_gm.html/BI/19619/KBID/12129/DFF/d10-v21-t1-x707644/SID/EZ","link*")</f>
        <v>link*</v>
      </c>
      <c r="M279" s="419" t="s">
        <v>51</v>
      </c>
      <c r="N279" s="405"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c r="O279" s="368">
        <v>80</v>
      </c>
      <c r="P279" s="364" t="s">
        <v>27</v>
      </c>
      <c r="Q279" s="462">
        <v>11</v>
      </c>
      <c r="R279" s="388">
        <v>43688</v>
      </c>
      <c r="S279" s="419" t="s">
        <v>41</v>
      </c>
      <c r="T279" s="371">
        <v>42401</v>
      </c>
      <c r="U279" s="372"/>
    </row>
    <row r="280" spans="1:21" ht="13">
      <c r="A280" s="472" t="s">
        <v>174</v>
      </c>
      <c r="B280" s="383">
        <v>1130</v>
      </c>
      <c r="C280" s="525">
        <v>85</v>
      </c>
      <c r="D280" s="421">
        <v>1.4</v>
      </c>
      <c r="E280" s="527">
        <v>95</v>
      </c>
      <c r="F280" s="474">
        <v>152</v>
      </c>
      <c r="G280" s="419" t="s">
        <v>36</v>
      </c>
      <c r="H280" s="528" t="s">
        <v>175</v>
      </c>
      <c r="I280" s="462">
        <v>0.12</v>
      </c>
      <c r="J280" s="366">
        <v>1199</v>
      </c>
      <c r="K280" s="405" t="str">
        <f>HYPERLINK("https://amzn.to/2MBd68k","link*")</f>
        <v>link*</v>
      </c>
      <c r="L280" s="405" t="str">
        <f>HYPERLINK("https://www.bhphotovideo.com/c/product/1393494-REG/sigma_85mm_f_1_4_dg_hsm.html/BI/19619/KBID/12129/kw/SI8514SO/DFF/d10-v2-t1-xSI8514SO","link*")</f>
        <v>link*</v>
      </c>
      <c r="M280" s="405" t="str">
        <f>HYPERLINK("https://amzn.to/2Wto6JH","link*")</f>
        <v>link*</v>
      </c>
      <c r="N280" s="405"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O280" s="368">
        <v>85</v>
      </c>
      <c r="P280" s="364" t="s">
        <v>27</v>
      </c>
      <c r="Q280" s="462">
        <v>9</v>
      </c>
      <c r="R280" s="388">
        <v>43724</v>
      </c>
      <c r="S280" s="419" t="s">
        <v>47</v>
      </c>
      <c r="T280" s="371">
        <v>43221</v>
      </c>
      <c r="U280" s="372" t="s">
        <v>48</v>
      </c>
    </row>
    <row r="281" spans="1:21" ht="13" hidden="1">
      <c r="A281" s="500" t="s">
        <v>176</v>
      </c>
      <c r="B281" s="359">
        <v>568</v>
      </c>
      <c r="C281" s="525">
        <v>85</v>
      </c>
      <c r="D281" s="421">
        <v>1.4</v>
      </c>
      <c r="E281" s="446">
        <v>88</v>
      </c>
      <c r="F281" s="509">
        <v>100</v>
      </c>
      <c r="G281" s="419" t="s">
        <v>36</v>
      </c>
      <c r="H281" s="462" t="s">
        <v>80</v>
      </c>
      <c r="I281" s="462">
        <v>0.11</v>
      </c>
      <c r="J281" s="410">
        <v>699</v>
      </c>
      <c r="K281" s="405" t="str">
        <f>HYPERLINK("https://amzn.to/2T0yJ1A","link*")</f>
        <v>link*</v>
      </c>
      <c r="L281" s="405" t="str">
        <f>HYPERLINK("https://www.bhphotovideo.com/c/product/1470654-REG/samyang_syio85af_e_af_85mm_f_1_4_lens.html/BI/19619/KBID/12129/DFF/d10-v21-t1-x955078/SID/EZ","link*")</f>
        <v>link*</v>
      </c>
      <c r="M281" s="419" t="s">
        <v>51</v>
      </c>
      <c r="N281" s="405"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c r="O281" s="368">
        <v>90</v>
      </c>
      <c r="P281" s="364" t="s">
        <v>27</v>
      </c>
      <c r="Q281" s="462">
        <v>9</v>
      </c>
      <c r="R281" s="388">
        <v>43688</v>
      </c>
      <c r="S281" s="419" t="s">
        <v>38</v>
      </c>
      <c r="T281" s="371">
        <v>43586</v>
      </c>
      <c r="U281" s="372"/>
    </row>
    <row r="282" spans="1:21" ht="13" hidden="1">
      <c r="A282" s="496" t="str">
        <f>HYPERLINK("https://phillipreeve.net/blog/review-sony-fe-85-mm-1-8/","Sony FE 85mm f/1.8")</f>
        <v>Sony FE 85mm f/1.8</v>
      </c>
      <c r="B282" s="374">
        <v>371</v>
      </c>
      <c r="C282" s="525">
        <v>85</v>
      </c>
      <c r="D282" s="385">
        <v>1.8</v>
      </c>
      <c r="E282" s="486">
        <v>77</v>
      </c>
      <c r="F282" s="430">
        <v>82</v>
      </c>
      <c r="G282" s="419" t="s">
        <v>36</v>
      </c>
      <c r="H282" s="462" t="s">
        <v>73</v>
      </c>
      <c r="I282" s="462">
        <v>0.13</v>
      </c>
      <c r="J282" s="410">
        <v>599</v>
      </c>
      <c r="K282" s="405" t="str">
        <f>HYPERLINK("https://amzn.to/2YB4RxU","link*")</f>
        <v>link*</v>
      </c>
      <c r="L282" s="405" t="str">
        <f t="shared" ref="L282:L283" si="8">HYPERLINK("https://www.bhphotovideo.com/c/product/1140833-REG/zeiss_2103_751_85mm_f_1_8_batis_short.html/BI/19619/KBID/12129/DFF/d10-v21-t1-x627139/SID/EZ","link*")</f>
        <v>link*</v>
      </c>
      <c r="M282" s="419" t="s">
        <v>51</v>
      </c>
      <c r="N282" s="405"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c r="O282" s="368">
        <v>80</v>
      </c>
      <c r="P282" s="364" t="s">
        <v>27</v>
      </c>
      <c r="Q282" s="462">
        <v>9</v>
      </c>
      <c r="R282" s="388">
        <v>43686</v>
      </c>
      <c r="S282" s="419" t="s">
        <v>41</v>
      </c>
      <c r="T282" s="371">
        <v>42767</v>
      </c>
      <c r="U282" s="372"/>
    </row>
    <row r="283" spans="1:21" ht="13" hidden="1">
      <c r="A283" s="496" t="str">
        <f>HYPERLINK("https://phillipreeve.net/blog/zeiss-batis-sonnar-t-85mm-f1-8-a-review/","Zeiss Batis 1.8/85")</f>
        <v>Zeiss Batis 1.8/85</v>
      </c>
      <c r="B283" s="359">
        <v>475</v>
      </c>
      <c r="C283" s="525">
        <v>85</v>
      </c>
      <c r="D283" s="385">
        <v>1.8</v>
      </c>
      <c r="E283" s="458">
        <v>92</v>
      </c>
      <c r="F283" s="529">
        <v>81</v>
      </c>
      <c r="G283" s="419" t="s">
        <v>36</v>
      </c>
      <c r="H283" s="462" t="s">
        <v>73</v>
      </c>
      <c r="I283" s="462">
        <v>0.13</v>
      </c>
      <c r="J283" s="366">
        <v>1199</v>
      </c>
      <c r="K283" s="405" t="str">
        <f>HYPERLINK("https://amzn.to/2T8oWqt","link*")</f>
        <v>link*</v>
      </c>
      <c r="L283" s="405" t="str">
        <f t="shared" si="8"/>
        <v>link*</v>
      </c>
      <c r="M283" s="419" t="s">
        <v>51</v>
      </c>
      <c r="N283" s="405"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c r="O283" s="368">
        <v>80</v>
      </c>
      <c r="P283" s="471" t="s">
        <v>66</v>
      </c>
      <c r="Q283" s="462">
        <v>9</v>
      </c>
      <c r="R283" s="388">
        <v>43688</v>
      </c>
      <c r="S283" s="419" t="s">
        <v>87</v>
      </c>
      <c r="T283" s="371">
        <v>42125</v>
      </c>
      <c r="U283" s="372"/>
    </row>
    <row r="284" spans="1:21" ht="13" hidden="1">
      <c r="A284" s="500" t="s">
        <v>197</v>
      </c>
      <c r="B284" s="390">
        <v>665</v>
      </c>
      <c r="C284" s="525">
        <v>85</v>
      </c>
      <c r="D284" s="385">
        <v>1.8</v>
      </c>
      <c r="E284" s="480">
        <v>79</v>
      </c>
      <c r="F284" s="441">
        <v>92</v>
      </c>
      <c r="G284" s="485" t="s">
        <v>25</v>
      </c>
      <c r="H284" s="462" t="s">
        <v>64</v>
      </c>
      <c r="I284" s="462">
        <v>0.13</v>
      </c>
      <c r="J284" s="366">
        <v>299</v>
      </c>
      <c r="K284" s="405" t="str">
        <f>HYPERLINK("https://amzn.to/2LVVOBV","link*")</f>
        <v>link*</v>
      </c>
      <c r="L284" s="405" t="str">
        <f>HYPERLINK("https://www.bhphotovideo.com/c/product/1469189-REG/viltrox_pfu_rbmh_85mm_f1_8_e_mount_85mm_f_1_8_for_sony.html/BI/19619/KBID/12129/DFF/d10-v21-t1-x954301/SID/EZ","link*")</f>
        <v>link*</v>
      </c>
      <c r="M284" s="419" t="s">
        <v>51</v>
      </c>
      <c r="N284" s="405"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O284" s="368">
        <v>80</v>
      </c>
      <c r="P284" s="364" t="s">
        <v>27</v>
      </c>
      <c r="Q284" s="462">
        <v>9</v>
      </c>
      <c r="R284" s="388">
        <v>43656</v>
      </c>
      <c r="S284" s="419" t="s">
        <v>106</v>
      </c>
      <c r="T284" s="530">
        <v>43586</v>
      </c>
      <c r="U284" s="357" t="s">
        <v>200</v>
      </c>
    </row>
    <row r="285" spans="1:21" ht="13" hidden="1">
      <c r="A285" s="500" t="s">
        <v>177</v>
      </c>
      <c r="B285" s="359">
        <v>636</v>
      </c>
      <c r="C285" s="525">
        <v>85</v>
      </c>
      <c r="D285" s="385">
        <v>1.8</v>
      </c>
      <c r="E285" s="480">
        <v>79</v>
      </c>
      <c r="F285" s="441">
        <v>92</v>
      </c>
      <c r="G285" s="419" t="s">
        <v>36</v>
      </c>
      <c r="H285" s="462" t="s">
        <v>64</v>
      </c>
      <c r="I285" s="462">
        <v>0.13</v>
      </c>
      <c r="J285" s="366">
        <v>379</v>
      </c>
      <c r="K285" s="405" t="str">
        <f>HYPERLINK("https://amzn.to/2SZfd5v","link*")</f>
        <v>link*</v>
      </c>
      <c r="L285" s="405" t="str">
        <f>HYPERLINK("https://www.bhphotovideo.com/c/product/1470585-REG/viltrox_pfu_rbmh_85mm_f1_8_stm_e_mount_85mm_f_1_8_lens_for.html/BI/19619/KBID/12129/DFF/d10-v21-t1-x955239/SID/EZ","link*")</f>
        <v>link*</v>
      </c>
      <c r="M285" s="419" t="s">
        <v>51</v>
      </c>
      <c r="N285" s="405"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c r="O285" s="368">
        <v>80</v>
      </c>
      <c r="P285" s="364" t="s">
        <v>27</v>
      </c>
      <c r="Q285" s="462">
        <v>9</v>
      </c>
      <c r="R285" s="388">
        <v>43656</v>
      </c>
      <c r="S285" s="419" t="s">
        <v>106</v>
      </c>
      <c r="T285" s="371">
        <v>43586</v>
      </c>
      <c r="U285" s="372"/>
    </row>
    <row r="286" spans="1:21" ht="13" hidden="1">
      <c r="A286" s="496" t="str">
        <f>HYPERLINK("https://phillipreeve.net/blog/rolling-review-zeiss-loxia-85mm-2-4/","Zeiss Loxia 2.4/85")</f>
        <v>Zeiss Loxia 2.4/85</v>
      </c>
      <c r="B286" s="359">
        <v>594</v>
      </c>
      <c r="C286" s="525">
        <v>85</v>
      </c>
      <c r="D286" s="460">
        <v>2.4</v>
      </c>
      <c r="E286" s="435">
        <v>63</v>
      </c>
      <c r="F286" s="455">
        <v>95</v>
      </c>
      <c r="G286" s="485" t="s">
        <v>25</v>
      </c>
      <c r="H286" s="462" t="s">
        <v>131</v>
      </c>
      <c r="I286" s="462">
        <v>0.14000000000000001</v>
      </c>
      <c r="J286" s="366">
        <v>1399</v>
      </c>
      <c r="K286" s="405" t="str">
        <f>HYPERLINK("https://amzn.to/2SY4PLd","link*")</f>
        <v>link*</v>
      </c>
      <c r="L286" s="405" t="str">
        <f>HYPERLINK("https://www.bhphotovideo.com/c/product/1282150-REG/zeiss_2162_636_loxia_85mm_f_2_4_lens.html/BI/19619/KBID/12129/DFF/d10-v21-t1-x762761/SID/EZ","link*")</f>
        <v>link*</v>
      </c>
      <c r="M286" s="419" t="s">
        <v>51</v>
      </c>
      <c r="N286" s="405"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O286" s="368">
        <v>80</v>
      </c>
      <c r="P286" s="364" t="s">
        <v>27</v>
      </c>
      <c r="Q286" s="462">
        <v>10</v>
      </c>
      <c r="R286" s="388">
        <v>43653</v>
      </c>
      <c r="S286" s="419" t="s">
        <v>87</v>
      </c>
      <c r="T286" s="371">
        <v>42644</v>
      </c>
      <c r="U286" s="372"/>
    </row>
    <row r="287" spans="1:21" ht="13" hidden="1">
      <c r="A287" s="496" t="str">
        <f>HYPERLINK("https://phillipreeve.net/blog/review-sony-fe-90mm-f2-8-macro-oss-one-of-sonys-finest/","Sony 2.8/90 G OSS")</f>
        <v>Sony 2.8/90 G OSS</v>
      </c>
      <c r="B287" s="359">
        <v>602</v>
      </c>
      <c r="C287" s="531">
        <v>90</v>
      </c>
      <c r="D287" s="391">
        <v>2.8</v>
      </c>
      <c r="E287" s="480">
        <v>79</v>
      </c>
      <c r="F287" s="393">
        <v>131</v>
      </c>
      <c r="G287" s="419" t="s">
        <v>36</v>
      </c>
      <c r="H287" s="462" t="s">
        <v>101</v>
      </c>
      <c r="I287" s="513">
        <v>1</v>
      </c>
      <c r="J287" s="366">
        <v>1099</v>
      </c>
      <c r="K287" s="405" t="str">
        <f>HYPERLINK("http://amzn.to/2fbeX3x","link*")</f>
        <v>link*</v>
      </c>
      <c r="L287" s="405" t="str">
        <f>HYPERLINK("https://www.bhphotovideo.com/c/product/1380868-REG/sony_fe_90mm_f_2_8_macro.html/BI/19619/KBID/12129/kw/SO9028F/DFF/d10-v2-t1-xSO9028F","link*")</f>
        <v>link*</v>
      </c>
      <c r="M287" s="405" t="str">
        <f>HYPERLINK("http://amzn.to/2vvvHcw","link*")</f>
        <v>link*</v>
      </c>
      <c r="N287" s="405"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287" s="368">
        <v>28</v>
      </c>
      <c r="P287" s="471" t="s">
        <v>66</v>
      </c>
      <c r="Q287" s="462">
        <v>9</v>
      </c>
      <c r="R287" s="388">
        <v>43784</v>
      </c>
      <c r="S287" s="419" t="s">
        <v>41</v>
      </c>
      <c r="T287" s="371">
        <v>42064</v>
      </c>
      <c r="U287" s="372"/>
    </row>
    <row r="288" spans="1:21" ht="13" hidden="1">
      <c r="A288" s="496" t="str">
        <f>HYPERLINK("https://phillipreeve.net/blog/review-sony-fe-100-f-2-8-stf-gm-oss-lens/","Sony GM 2.8/100 STF OSS")</f>
        <v>Sony GM 2.8/100 STF OSS</v>
      </c>
      <c r="B288" s="390">
        <v>700</v>
      </c>
      <c r="C288" s="532">
        <v>100</v>
      </c>
      <c r="D288" s="391">
        <v>2.8</v>
      </c>
      <c r="E288" s="442">
        <v>85</v>
      </c>
      <c r="F288" s="467">
        <v>118</v>
      </c>
      <c r="G288" s="419" t="s">
        <v>36</v>
      </c>
      <c r="H288" s="462" t="s">
        <v>64</v>
      </c>
      <c r="I288" s="468">
        <v>0.25</v>
      </c>
      <c r="J288" s="366">
        <v>1499</v>
      </c>
      <c r="K288" s="405" t="str">
        <f>HYPERLINK("https://amzn.to/2YD8rn4","link*")</f>
        <v>link*</v>
      </c>
      <c r="L288" s="405" t="str">
        <f>HYPERLINK("https://www.bhphotovideo.com/c/product/1317561-REG/sony_sel100f28gm_fe_100mm_f_2_8_stf.html/BI/19619/KBID/12129/DFF/d10-v21-t1-x795192/SID/EZ","link*")</f>
        <v>link*</v>
      </c>
      <c r="M288" s="419" t="s">
        <v>51</v>
      </c>
      <c r="N288" s="405"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O288" s="368">
        <v>57</v>
      </c>
      <c r="P288" s="471" t="s">
        <v>66</v>
      </c>
      <c r="Q288" s="462">
        <v>11</v>
      </c>
      <c r="R288" s="388">
        <v>43752</v>
      </c>
      <c r="S288" s="419" t="s">
        <v>41</v>
      </c>
      <c r="T288" s="371">
        <v>42767</v>
      </c>
      <c r="U288" s="357" t="s">
        <v>178</v>
      </c>
    </row>
    <row r="289" spans="1:21" ht="13" hidden="1">
      <c r="A289" s="504" t="str">
        <f>HYPERLINK("https://phillipreeve.net/blog/review-tokina-firin-100mm-f2-8-fe-macro/","Tokina Firin 2.8/100 Macro")</f>
        <v>Tokina Firin 2.8/100 Macro</v>
      </c>
      <c r="B289" s="359">
        <v>570</v>
      </c>
      <c r="C289" s="532">
        <v>100</v>
      </c>
      <c r="D289" s="391">
        <v>2.8</v>
      </c>
      <c r="E289" s="510">
        <v>74</v>
      </c>
      <c r="F289" s="533">
        <v>123</v>
      </c>
      <c r="G289" s="419" t="s">
        <v>36</v>
      </c>
      <c r="H289" s="462" t="s">
        <v>147</v>
      </c>
      <c r="I289" s="513">
        <v>1</v>
      </c>
      <c r="J289" s="431">
        <v>599</v>
      </c>
      <c r="K289" s="405" t="str">
        <f>HYPERLINK("http://amzn.to/2fbeX3x","link*")</f>
        <v>link*</v>
      </c>
      <c r="L289" s="405" t="str">
        <f>HYPERLINK("https://www.bhphotovideo.com/c/product/1473390-REG/tokina_frn_afm100fxse_firin_100mm_f_2_8_fe.html/BI/19619/KBID/12129/kw/TO100AF/DFF/d10-v2-t1-xTO100AF","link*")</f>
        <v>link*</v>
      </c>
      <c r="M289" s="405"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N289" s="405"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O289" s="368">
        <v>30</v>
      </c>
      <c r="P289" s="364" t="s">
        <v>27</v>
      </c>
      <c r="Q289" s="462">
        <v>9</v>
      </c>
      <c r="R289" s="388">
        <v>43686</v>
      </c>
      <c r="S289" s="419" t="s">
        <v>103</v>
      </c>
      <c r="T289" s="371">
        <v>43617</v>
      </c>
      <c r="U289" s="372" t="s">
        <v>48</v>
      </c>
    </row>
    <row r="290" spans="1:21" ht="13" hidden="1">
      <c r="A290" s="472" t="s">
        <v>179</v>
      </c>
      <c r="B290" s="383">
        <v>1395</v>
      </c>
      <c r="C290" s="532">
        <v>100</v>
      </c>
      <c r="D290" s="449" t="s">
        <v>171</v>
      </c>
      <c r="E290" s="534">
        <v>94</v>
      </c>
      <c r="F290" s="474">
        <v>205</v>
      </c>
      <c r="G290" s="419" t="s">
        <v>36</v>
      </c>
      <c r="H290" s="462" t="s">
        <v>80</v>
      </c>
      <c r="I290" s="468">
        <v>0.35</v>
      </c>
      <c r="J290" s="366">
        <v>2499</v>
      </c>
      <c r="K290" s="405" t="str">
        <f>HYPERLINK("https://amzn.to/2SZ0aZO","link*")</f>
        <v>link*</v>
      </c>
      <c r="L290" s="405" t="str">
        <f>HYPERLINK("https://www.bhphotovideo.com/c/product/1333230-REG/sony_sel100400gm_fe_100_400mm_f_4_5_5_6_gm.html/BI/19619/KBID/12129/DFF/d10-v21-t1-x817745/SID/EZ","link*")</f>
        <v>link*</v>
      </c>
      <c r="M290" s="419" t="s">
        <v>51</v>
      </c>
      <c r="N290" s="405"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O290" s="368">
        <v>98</v>
      </c>
      <c r="P290" s="471" t="s">
        <v>66</v>
      </c>
      <c r="Q290" s="462">
        <v>11</v>
      </c>
      <c r="R290" s="523" t="s">
        <v>180</v>
      </c>
      <c r="S290" s="419" t="s">
        <v>41</v>
      </c>
      <c r="T290" s="371">
        <v>42826</v>
      </c>
      <c r="U290" s="372"/>
    </row>
    <row r="291" spans="1:21" ht="13">
      <c r="A291" s="472" t="s">
        <v>181</v>
      </c>
      <c r="B291" s="383">
        <v>1600</v>
      </c>
      <c r="C291" s="535">
        <v>105</v>
      </c>
      <c r="D291" s="421">
        <v>1.4</v>
      </c>
      <c r="E291" s="473">
        <v>116</v>
      </c>
      <c r="F291" s="536">
        <v>132</v>
      </c>
      <c r="G291" s="419" t="s">
        <v>36</v>
      </c>
      <c r="H291" s="537" t="s">
        <v>182</v>
      </c>
      <c r="I291" s="462">
        <v>0.12</v>
      </c>
      <c r="J291" s="366">
        <v>1599</v>
      </c>
      <c r="K291" s="405" t="str">
        <f>HYPERLINK("https://amzn.to/2EWeThZ","link*")</f>
        <v>link*</v>
      </c>
      <c r="L291" s="405" t="str">
        <f>HYPERLINK("https://www.bhphotovideo.com/c/product/1393488-REG/sigma_105mm_f_1_4_dg_hsm.html/BI/19619/KBID/12129/kw/SI10514SO/DFF/d10-v2-t1-xSI10514SO","link*")</f>
        <v>link*</v>
      </c>
      <c r="M291" s="405" t="str">
        <f>HYPERLINK("https://amzn.to/2WpOvTy","link*")</f>
        <v>link*</v>
      </c>
      <c r="N291" s="405" t="e">
        <f>HYPERLINK("http://rover.ebay.com/rover/1/711-53200-19255-0/1?icep_ff3=9&amp;pub=5575076376&amp;toolid=10001&amp;campid=5338164340&amp;customid=&amp;icep_uq=sigma+art+100+1.4+sony&amp;icep_sellerId=&amp;icep_ex_kw=&amp;icep_sortBy=12&amp;icep_catId=3323&amp;icep_minPrice=&amp;icep_maxPrice=&amp;ipn=psmain&amp;icep_vec"&amp;"torid=229466&amp;kwid=902099&amp;mtid=824&amp;kw=lg","link*")</f>
        <v>#VALUE!</v>
      </c>
      <c r="O291" s="368">
        <v>100</v>
      </c>
      <c r="P291" s="364" t="s">
        <v>27</v>
      </c>
      <c r="Q291" s="462">
        <v>9</v>
      </c>
      <c r="R291" s="388">
        <v>43816</v>
      </c>
      <c r="S291" s="419" t="s">
        <v>183</v>
      </c>
      <c r="T291" s="371">
        <v>43221</v>
      </c>
      <c r="U291" s="372" t="s">
        <v>48</v>
      </c>
    </row>
    <row r="292" spans="1:21" ht="13" hidden="1">
      <c r="A292" s="496" t="str">
        <f>HYPERLINK("https://phillipreeve.net/blog/voigtlander-110mm-f2-5-apo-review/","Voigtlander 110mm F2.5 APO Macro")</f>
        <v>Voigtlander 110mm F2.5 APO Macro</v>
      </c>
      <c r="B292" s="390">
        <v>771</v>
      </c>
      <c r="C292" s="538">
        <v>110</v>
      </c>
      <c r="D292" s="539">
        <v>2.5</v>
      </c>
      <c r="E292" s="516">
        <v>78</v>
      </c>
      <c r="F292" s="509">
        <v>100</v>
      </c>
      <c r="G292" s="485" t="s">
        <v>25</v>
      </c>
      <c r="H292" s="462" t="s">
        <v>71</v>
      </c>
      <c r="I292" s="513">
        <v>1</v>
      </c>
      <c r="J292" s="366">
        <v>1099</v>
      </c>
      <c r="K292" s="405" t="str">
        <f>HYPERLINK("https://amzn.to/2SXYsrm","link*")</f>
        <v>link*</v>
      </c>
      <c r="L292" s="405" t="str">
        <f>HYPERLINK("https://www.bhphotovideo.com/c/product/1418780-REG/voigtlander_ba349a_macro_apo_lanthar_110mm_f_2_5.html/BI/19619/KBID/12129/kw/VO11025/DFF/d10-v2-t1-xVO11025","link*")</f>
        <v>link*</v>
      </c>
      <c r="M292" s="419" t="s">
        <v>51</v>
      </c>
      <c r="N292" s="405"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O292" s="368">
        <v>35</v>
      </c>
      <c r="P292" s="364" t="s">
        <v>27</v>
      </c>
      <c r="Q292" s="462">
        <v>10</v>
      </c>
      <c r="R292" s="388">
        <v>43813</v>
      </c>
      <c r="S292" s="419" t="s">
        <v>29</v>
      </c>
      <c r="T292" s="371">
        <v>43405</v>
      </c>
      <c r="U292" s="372"/>
    </row>
    <row r="293" spans="1:21" ht="13" hidden="1">
      <c r="A293" s="496" t="str">
        <f>HYPERLINK("https://phillipreeve.net/blog/review-sony-fe-135mm-f1-8-gm/","Sony 1.8/135 GM")</f>
        <v>Sony 1.8/135 GM</v>
      </c>
      <c r="B293" s="383">
        <v>950</v>
      </c>
      <c r="C293" s="540">
        <v>135</v>
      </c>
      <c r="D293" s="385">
        <v>1.8</v>
      </c>
      <c r="E293" s="541">
        <v>90</v>
      </c>
      <c r="F293" s="542">
        <v>127</v>
      </c>
      <c r="G293" s="419" t="s">
        <v>36</v>
      </c>
      <c r="H293" s="479" t="s">
        <v>68</v>
      </c>
      <c r="I293" s="468">
        <v>0.25</v>
      </c>
      <c r="J293" s="366">
        <v>1899</v>
      </c>
      <c r="K293" s="405" t="str">
        <f>HYPERLINK("https://amzn.to/2WtonMJ","link*")</f>
        <v>link*</v>
      </c>
      <c r="L293" s="405" t="str">
        <f>HYPERLINK("https://www.bhphotovideo.com/c/product/1393495-REG/sigma_135mm_f_1_8_dg_hsm.html/BI/19619/KBID/12129/kw/SI13518SO/DFF/d10-v2-t1-xSI13518SO","link*")</f>
        <v>link*</v>
      </c>
      <c r="M293" s="405" t="str">
        <f>HYPERLINK("https://amzn.to/2Z9KKDE","link*")</f>
        <v>link*</v>
      </c>
      <c r="N293" s="405"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c r="O293" s="368">
        <v>70</v>
      </c>
      <c r="P293" s="364" t="s">
        <v>27</v>
      </c>
      <c r="Q293" s="462">
        <v>11</v>
      </c>
      <c r="R293" s="388">
        <v>43751</v>
      </c>
      <c r="S293" s="419" t="s">
        <v>41</v>
      </c>
      <c r="T293" s="371">
        <v>43525</v>
      </c>
      <c r="U293" s="372"/>
    </row>
    <row r="294" spans="1:21" ht="13">
      <c r="A294" s="472" t="s">
        <v>185</v>
      </c>
      <c r="B294" s="383">
        <v>1130</v>
      </c>
      <c r="C294" s="540">
        <v>135</v>
      </c>
      <c r="D294" s="385">
        <v>1.8</v>
      </c>
      <c r="E294" s="498">
        <v>91</v>
      </c>
      <c r="F294" s="483">
        <v>115</v>
      </c>
      <c r="G294" s="419" t="s">
        <v>36</v>
      </c>
      <c r="H294" s="479" t="s">
        <v>68</v>
      </c>
      <c r="I294" s="462">
        <v>0.2</v>
      </c>
      <c r="J294" s="431">
        <v>1399</v>
      </c>
      <c r="K294" s="405" t="str">
        <f>HYPERLINK("https://amzn.to/2yxIM4R","link*")</f>
        <v>link*</v>
      </c>
      <c r="L294" s="405" t="str">
        <f>HYPERLINK("https://www.bhphotovideo.com/c/product/1393495-REG/sigma_135mm_f_1_8_dg_hsm.html/BI/19619/KBID/12129/DFF/d10-v21-t1-x881160/SID/EZ","link*")</f>
        <v>link*</v>
      </c>
      <c r="M294" s="419" t="s">
        <v>51</v>
      </c>
      <c r="N294" s="405"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O294" s="368">
        <v>87</v>
      </c>
      <c r="P294" s="364" t="s">
        <v>27</v>
      </c>
      <c r="Q294" s="462">
        <v>9</v>
      </c>
      <c r="R294" s="388">
        <v>43751</v>
      </c>
      <c r="S294" s="419" t="s">
        <v>47</v>
      </c>
      <c r="T294" s="371">
        <v>43221</v>
      </c>
      <c r="U294" s="372" t="s">
        <v>48</v>
      </c>
    </row>
    <row r="295" spans="1:21" ht="13" hidden="1">
      <c r="A295" s="496" t="str">
        <f>HYPERLINK("https://phillipreeve.net/blog/zeiss-batis-apo-sonnar-t-135mm-f2-8/","Zeiss 2.8/135 APO")</f>
        <v>Zeiss 2.8/135 APO</v>
      </c>
      <c r="B295" s="359">
        <v>614</v>
      </c>
      <c r="C295" s="540">
        <v>135</v>
      </c>
      <c r="D295" s="391">
        <v>2.8</v>
      </c>
      <c r="E295" s="543">
        <v>99</v>
      </c>
      <c r="F295" s="544">
        <v>120</v>
      </c>
      <c r="G295" s="419" t="s">
        <v>36</v>
      </c>
      <c r="H295" s="462" t="s">
        <v>73</v>
      </c>
      <c r="I295" s="462">
        <v>0.19</v>
      </c>
      <c r="J295" s="366">
        <v>1699</v>
      </c>
      <c r="K295" s="405" t="str">
        <f>HYPERLINK("https://amzn.to/319GJA4","link*")</f>
        <v>link*</v>
      </c>
      <c r="L295" s="405" t="str">
        <f>HYPERLINK("https://www.bhphotovideo.com/c/product/1330083-REG/zeiss_2136_695_batis_135mm_f_2_8_lens.html/BI/19619/KBID/12129/DFF/d10-v21-t1-x814884/SID/EZ","link*")</f>
        <v>link*</v>
      </c>
      <c r="M295" s="419" t="s">
        <v>51</v>
      </c>
      <c r="N295" s="405" t="e">
        <f>HYPERLINK("http://rover.ebay.com/rover/1/711-53200-19255-0/1?icep_ff3=9&amp;pub=5575076376&amp;toolid=10001&amp;campid=5338164340&amp;customid=&amp;icep_uq=zeiss+135+2.8&amp;icep_sellerId=&amp;icep_ex_kw=&amp;icep_sortBy=12&amp;icep_catId=3323&amp;icep_minPrice=&amp;icep_maxPrice=&amp;ipn=psmain&amp;icep_vectorid=229"&amp;"466&amp;kwid=902099&amp;mtid=824&amp;kw=lg","link*")</f>
        <v>#VALUE!</v>
      </c>
      <c r="O295" s="368">
        <v>87</v>
      </c>
      <c r="P295" s="471" t="s">
        <v>66</v>
      </c>
      <c r="Q295" s="462">
        <v>9</v>
      </c>
      <c r="R295" s="388">
        <v>43783</v>
      </c>
      <c r="S295" s="419" t="s">
        <v>87</v>
      </c>
      <c r="T295" s="371">
        <v>42826</v>
      </c>
      <c r="U295" s="372"/>
    </row>
    <row r="296" spans="1:21" ht="13" hidden="1">
      <c r="A296" s="500" t="s">
        <v>186</v>
      </c>
      <c r="B296" s="383">
        <v>2215</v>
      </c>
      <c r="C296" s="545">
        <v>200</v>
      </c>
      <c r="D296" s="449" t="s">
        <v>187</v>
      </c>
      <c r="E296" s="473">
        <v>112</v>
      </c>
      <c r="F296" s="474">
        <v>318</v>
      </c>
      <c r="G296" s="419" t="s">
        <v>36</v>
      </c>
      <c r="H296" s="497" t="s">
        <v>152</v>
      </c>
      <c r="I296" s="462">
        <v>0.2</v>
      </c>
      <c r="J296" s="366">
        <v>1999</v>
      </c>
      <c r="K296" s="419"/>
      <c r="L296" s="405" t="str">
        <f>HYPERLINK("https://www.bhphotovideo.com/c/product/1485540-REG/sony_sel200600g_fe_200_600mm_f_5_6_6_3_g.html/BI/19619/KBID/12129/DFF/d10-v21-t1-x968882/SID/EZ","link*")</f>
        <v>link*</v>
      </c>
      <c r="M296" s="419" t="s">
        <v>51</v>
      </c>
      <c r="N296" s="405"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O296" s="368">
        <v>240</v>
      </c>
      <c r="P296" s="471" t="s">
        <v>66</v>
      </c>
      <c r="Q296" s="462">
        <v>11</v>
      </c>
      <c r="R296" s="523" t="s">
        <v>188</v>
      </c>
      <c r="S296" s="419" t="s">
        <v>41</v>
      </c>
      <c r="T296" s="371">
        <v>43647</v>
      </c>
      <c r="U296" s="372"/>
    </row>
    <row r="297" spans="1:21" ht="13" hidden="1">
      <c r="A297" s="472" t="s">
        <v>189</v>
      </c>
      <c r="B297" s="383">
        <v>2895</v>
      </c>
      <c r="C297" s="546">
        <v>400</v>
      </c>
      <c r="D297" s="391">
        <v>2.8</v>
      </c>
      <c r="E297" s="473">
        <v>158</v>
      </c>
      <c r="F297" s="474">
        <v>359</v>
      </c>
      <c r="G297" s="419" t="s">
        <v>36</v>
      </c>
      <c r="H297" s="462" t="s">
        <v>190</v>
      </c>
      <c r="I297" s="462">
        <v>0.16</v>
      </c>
      <c r="J297" s="366">
        <v>11999</v>
      </c>
      <c r="K297" s="419"/>
      <c r="L297" s="405" t="str">
        <f>HYPERLINK("https://www.bhphotovideo.com/c/product/1369634-REG/sony_fe_400mm_f_2_8_gm.html/BI/19619/KBID/12129/DFF/d10-v21-t1-x905722/SID/EZ","link*")</f>
        <v>link*</v>
      </c>
      <c r="M297" s="419" t="s">
        <v>51</v>
      </c>
      <c r="N297" s="405"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O297" s="368">
        <v>270</v>
      </c>
      <c r="P297" s="471" t="s">
        <v>66</v>
      </c>
      <c r="Q297" s="462">
        <v>11</v>
      </c>
      <c r="R297" s="523" t="s">
        <v>191</v>
      </c>
      <c r="S297" s="419" t="s">
        <v>41</v>
      </c>
      <c r="T297" s="371">
        <v>43313</v>
      </c>
      <c r="U297" s="372"/>
    </row>
    <row r="298" spans="1:21" ht="13" hidden="1">
      <c r="A298" s="547" t="s">
        <v>192</v>
      </c>
      <c r="B298" s="548">
        <v>3040</v>
      </c>
      <c r="C298" s="549">
        <v>600</v>
      </c>
      <c r="D298" s="550">
        <v>4</v>
      </c>
      <c r="E298" s="473">
        <v>164</v>
      </c>
      <c r="F298" s="474">
        <v>449</v>
      </c>
      <c r="G298" s="551" t="s">
        <v>36</v>
      </c>
      <c r="H298" s="552" t="s">
        <v>26</v>
      </c>
      <c r="I298" s="552">
        <v>0.14000000000000001</v>
      </c>
      <c r="J298" s="553" t="s">
        <v>193</v>
      </c>
      <c r="K298" s="419"/>
      <c r="L298" s="405" t="str">
        <f>HYPERLINK("https://www.bhphotovideo.com/c/product/1485539-REG/sony_sel600f40gm_fe_600mm_f_4_gm.html/BI/19619/KBID/12129/DFF/d10-v21-t1-x968881/SID/EZ","link*")</f>
        <v>link*</v>
      </c>
      <c r="M298" s="419" t="s">
        <v>51</v>
      </c>
      <c r="N298" s="405"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c r="O298" s="554">
        <v>451</v>
      </c>
      <c r="P298" s="471" t="s">
        <v>66</v>
      </c>
      <c r="Q298" s="552">
        <v>11</v>
      </c>
      <c r="R298" s="555" t="s">
        <v>195</v>
      </c>
      <c r="S298" s="551" t="s">
        <v>41</v>
      </c>
      <c r="T298" s="556">
        <v>43678</v>
      </c>
      <c r="U298" s="372"/>
    </row>
    <row r="299" spans="1:21" ht="13">
      <c r="H299" s="226"/>
    </row>
    <row r="300" spans="1:21" ht="13">
      <c r="H300" s="226"/>
    </row>
    <row r="301" spans="1:21" ht="13">
      <c r="H301" s="226"/>
    </row>
    <row r="302" spans="1:21" ht="13">
      <c r="H302" s="226"/>
    </row>
    <row r="303" spans="1:21" ht="13">
      <c r="H303" s="226"/>
    </row>
    <row r="304" spans="1:21" ht="13">
      <c r="H304" s="226"/>
    </row>
    <row r="305" spans="8:8" ht="13">
      <c r="H305" s="226"/>
    </row>
    <row r="306" spans="8:8" ht="13">
      <c r="H306" s="226"/>
    </row>
    <row r="307" spans="8:8" ht="13">
      <c r="H307" s="226"/>
    </row>
    <row r="308" spans="8:8" ht="13">
      <c r="H308" s="226"/>
    </row>
    <row r="309" spans="8:8" ht="13">
      <c r="H309" s="226"/>
    </row>
    <row r="310" spans="8:8" ht="13">
      <c r="H310" s="226"/>
    </row>
    <row r="311" spans="8:8" ht="13">
      <c r="H311" s="226"/>
    </row>
    <row r="312" spans="8:8" ht="13">
      <c r="H312" s="226"/>
    </row>
    <row r="313" spans="8:8" ht="13">
      <c r="H313" s="226"/>
    </row>
    <row r="314" spans="8:8" ht="13">
      <c r="H314" s="226"/>
    </row>
    <row r="315" spans="8:8" ht="13">
      <c r="H315" s="226"/>
    </row>
    <row r="316" spans="8:8" ht="13">
      <c r="H316" s="226"/>
    </row>
    <row r="317" spans="8:8" ht="13">
      <c r="H317" s="226"/>
    </row>
    <row r="318" spans="8:8" ht="13">
      <c r="H318" s="226"/>
    </row>
    <row r="319" spans="8:8" ht="13">
      <c r="H319" s="226"/>
    </row>
    <row r="320" spans="8:8" ht="13">
      <c r="H320" s="226"/>
    </row>
    <row r="321" spans="8:8" ht="13">
      <c r="H321" s="226"/>
    </row>
    <row r="322" spans="8:8" ht="13">
      <c r="H322" s="226"/>
    </row>
    <row r="323" spans="8:8" ht="13">
      <c r="H323" s="226"/>
    </row>
    <row r="324" spans="8:8" ht="13">
      <c r="H324" s="226"/>
    </row>
    <row r="325" spans="8:8" ht="13">
      <c r="H325" s="226"/>
    </row>
    <row r="326" spans="8:8" ht="13">
      <c r="H326" s="226"/>
    </row>
    <row r="327" spans="8:8" ht="13">
      <c r="H327" s="226"/>
    </row>
    <row r="328" spans="8:8" ht="13">
      <c r="H328" s="226"/>
    </row>
    <row r="329" spans="8:8" ht="13">
      <c r="H329" s="226"/>
    </row>
    <row r="330" spans="8:8" ht="13">
      <c r="H330" s="226"/>
    </row>
    <row r="331" spans="8:8" ht="13">
      <c r="H331" s="226"/>
    </row>
    <row r="332" spans="8:8" ht="13">
      <c r="H332" s="226"/>
    </row>
    <row r="333" spans="8:8" ht="13">
      <c r="H333" s="226"/>
    </row>
    <row r="334" spans="8:8" ht="13">
      <c r="H334" s="226"/>
    </row>
    <row r="335" spans="8:8" ht="13">
      <c r="H335" s="226"/>
    </row>
    <row r="336" spans="8:8" ht="13">
      <c r="H336" s="226"/>
    </row>
    <row r="337" spans="8:8" ht="13">
      <c r="H337" s="226"/>
    </row>
    <row r="338" spans="8:8" ht="13">
      <c r="H338" s="226"/>
    </row>
    <row r="339" spans="8:8" ht="13">
      <c r="H339" s="226"/>
    </row>
    <row r="340" spans="8:8" ht="13">
      <c r="H340" s="226"/>
    </row>
    <row r="341" spans="8:8" ht="13">
      <c r="H341" s="226"/>
    </row>
    <row r="342" spans="8:8" ht="13">
      <c r="H342" s="226"/>
    </row>
    <row r="343" spans="8:8" ht="13">
      <c r="H343" s="226"/>
    </row>
    <row r="344" spans="8:8" ht="13">
      <c r="H344" s="226"/>
    </row>
    <row r="345" spans="8:8" ht="13">
      <c r="H345" s="226"/>
    </row>
    <row r="346" spans="8:8" ht="13">
      <c r="H346" s="226"/>
    </row>
    <row r="347" spans="8:8" ht="13">
      <c r="H347" s="226"/>
    </row>
    <row r="348" spans="8:8" ht="13">
      <c r="H348" s="226"/>
    </row>
    <row r="349" spans="8:8" ht="13">
      <c r="H349" s="226"/>
    </row>
    <row r="350" spans="8:8" ht="13">
      <c r="H350" s="226"/>
    </row>
    <row r="351" spans="8:8" ht="13">
      <c r="H351" s="226"/>
    </row>
    <row r="352" spans="8:8" ht="13">
      <c r="H352" s="226"/>
    </row>
    <row r="353" spans="8:8" ht="13">
      <c r="H353" s="226"/>
    </row>
    <row r="354" spans="8:8" ht="13">
      <c r="H354" s="226"/>
    </row>
    <row r="355" spans="8:8" ht="13">
      <c r="H355" s="226"/>
    </row>
    <row r="356" spans="8:8" ht="13">
      <c r="H356" s="226"/>
    </row>
    <row r="357" spans="8:8" ht="13">
      <c r="H357" s="226"/>
    </row>
    <row r="358" spans="8:8" ht="13">
      <c r="H358" s="226"/>
    </row>
    <row r="359" spans="8:8" ht="13">
      <c r="H359" s="226"/>
    </row>
    <row r="360" spans="8:8" ht="13">
      <c r="H360" s="226"/>
    </row>
    <row r="361" spans="8:8" ht="13">
      <c r="H361" s="226"/>
    </row>
    <row r="362" spans="8:8" ht="13">
      <c r="H362" s="226"/>
    </row>
    <row r="363" spans="8:8" ht="13">
      <c r="H363" s="226"/>
    </row>
    <row r="364" spans="8:8" ht="13">
      <c r="H364" s="226"/>
    </row>
    <row r="365" spans="8:8" ht="13">
      <c r="H365" s="226"/>
    </row>
    <row r="366" spans="8:8" ht="13">
      <c r="H366" s="226"/>
    </row>
    <row r="367" spans="8:8" ht="13">
      <c r="H367" s="226"/>
    </row>
    <row r="368" spans="8:8" ht="13">
      <c r="H368" s="226"/>
    </row>
    <row r="369" spans="8:8" ht="13">
      <c r="H369" s="226"/>
    </row>
    <row r="370" spans="8:8" ht="13">
      <c r="H370" s="226"/>
    </row>
    <row r="371" spans="8:8" ht="13">
      <c r="H371" s="226"/>
    </row>
    <row r="372" spans="8:8" ht="13">
      <c r="H372" s="226"/>
    </row>
    <row r="373" spans="8:8" ht="13">
      <c r="H373" s="226"/>
    </row>
    <row r="374" spans="8:8" ht="13">
      <c r="H374" s="226"/>
    </row>
    <row r="375" spans="8:8" ht="13">
      <c r="H375" s="226"/>
    </row>
    <row r="376" spans="8:8" ht="13">
      <c r="H376" s="226"/>
    </row>
    <row r="377" spans="8:8" ht="13">
      <c r="H377" s="226"/>
    </row>
    <row r="378" spans="8:8" ht="13">
      <c r="H378" s="226"/>
    </row>
    <row r="379" spans="8:8" ht="13">
      <c r="H379" s="226"/>
    </row>
    <row r="380" spans="8:8" ht="13">
      <c r="H380" s="226"/>
    </row>
    <row r="381" spans="8:8" ht="13">
      <c r="H381" s="226"/>
    </row>
    <row r="382" spans="8:8" ht="13">
      <c r="H382" s="226"/>
    </row>
    <row r="383" spans="8:8" ht="13">
      <c r="H383" s="226"/>
    </row>
    <row r="384" spans="8:8" ht="13">
      <c r="H384" s="226"/>
    </row>
    <row r="385" spans="8:8" ht="13">
      <c r="H385" s="226"/>
    </row>
    <row r="386" spans="8:8" ht="13">
      <c r="H386" s="226"/>
    </row>
    <row r="387" spans="8:8" ht="13">
      <c r="H387" s="226"/>
    </row>
    <row r="388" spans="8:8" ht="13">
      <c r="H388" s="226"/>
    </row>
    <row r="389" spans="8:8" ht="13">
      <c r="H389" s="226"/>
    </row>
    <row r="390" spans="8:8" ht="13">
      <c r="H390" s="226"/>
    </row>
    <row r="391" spans="8:8" ht="13">
      <c r="H391" s="226"/>
    </row>
    <row r="392" spans="8:8" ht="13">
      <c r="H392" s="226"/>
    </row>
    <row r="393" spans="8:8" ht="13">
      <c r="H393" s="226"/>
    </row>
    <row r="394" spans="8:8" ht="13">
      <c r="H394" s="226"/>
    </row>
    <row r="395" spans="8:8" ht="13">
      <c r="H395" s="226"/>
    </row>
    <row r="396" spans="8:8" ht="13">
      <c r="H396" s="226"/>
    </row>
    <row r="397" spans="8:8" ht="13">
      <c r="H397" s="226"/>
    </row>
    <row r="398" spans="8:8" ht="13">
      <c r="H398" s="226"/>
    </row>
    <row r="399" spans="8:8" ht="13">
      <c r="H399" s="226"/>
    </row>
    <row r="400" spans="8:8" ht="13">
      <c r="H400" s="226"/>
    </row>
    <row r="401" spans="8:8" ht="13">
      <c r="H401" s="226"/>
    </row>
    <row r="402" spans="8:8" ht="13">
      <c r="H402" s="226"/>
    </row>
    <row r="403" spans="8:8" ht="13">
      <c r="H403" s="226"/>
    </row>
    <row r="404" spans="8:8" ht="13">
      <c r="H404" s="226"/>
    </row>
    <row r="405" spans="8:8" ht="13">
      <c r="H405" s="226"/>
    </row>
    <row r="406" spans="8:8" ht="13">
      <c r="H406" s="226"/>
    </row>
    <row r="407" spans="8:8" ht="13">
      <c r="H407" s="226"/>
    </row>
    <row r="408" spans="8:8" ht="13">
      <c r="H408" s="226"/>
    </row>
    <row r="409" spans="8:8" ht="13">
      <c r="H409" s="226"/>
    </row>
    <row r="410" spans="8:8" ht="13">
      <c r="H410" s="226"/>
    </row>
    <row r="411" spans="8:8" ht="13">
      <c r="H411" s="226"/>
    </row>
    <row r="412" spans="8:8" ht="13">
      <c r="H412" s="226"/>
    </row>
    <row r="413" spans="8:8" ht="13">
      <c r="H413" s="226"/>
    </row>
    <row r="414" spans="8:8" ht="13">
      <c r="H414" s="226"/>
    </row>
    <row r="415" spans="8:8" ht="13">
      <c r="H415" s="226"/>
    </row>
    <row r="416" spans="8:8" ht="13">
      <c r="H416" s="226"/>
    </row>
    <row r="417" spans="8:8" ht="13">
      <c r="H417" s="226"/>
    </row>
    <row r="418" spans="8:8" ht="13">
      <c r="H418" s="226"/>
    </row>
    <row r="419" spans="8:8" ht="13">
      <c r="H419" s="226"/>
    </row>
    <row r="420" spans="8:8" ht="13">
      <c r="H420" s="226"/>
    </row>
    <row r="421" spans="8:8" ht="13">
      <c r="H421" s="226"/>
    </row>
    <row r="422" spans="8:8" ht="13">
      <c r="H422" s="226"/>
    </row>
    <row r="423" spans="8:8" ht="13">
      <c r="H423" s="226"/>
    </row>
    <row r="424" spans="8:8" ht="13">
      <c r="H424" s="226"/>
    </row>
    <row r="425" spans="8:8" ht="13">
      <c r="H425" s="226"/>
    </row>
    <row r="426" spans="8:8" ht="13">
      <c r="H426" s="226"/>
    </row>
    <row r="427" spans="8:8" ht="13">
      <c r="H427" s="226"/>
    </row>
    <row r="428" spans="8:8" ht="13">
      <c r="H428" s="226"/>
    </row>
    <row r="429" spans="8:8" ht="13">
      <c r="H429" s="226"/>
    </row>
    <row r="430" spans="8:8" ht="13">
      <c r="H430" s="226"/>
    </row>
    <row r="431" spans="8:8" ht="13">
      <c r="H431" s="226"/>
    </row>
    <row r="432" spans="8:8" ht="13">
      <c r="H432" s="226"/>
    </row>
    <row r="433" spans="8:8" ht="13">
      <c r="H433" s="226"/>
    </row>
    <row r="434" spans="8:8" ht="13">
      <c r="H434" s="226"/>
    </row>
    <row r="435" spans="8:8" ht="13">
      <c r="H435" s="226"/>
    </row>
    <row r="436" spans="8:8" ht="13">
      <c r="H436" s="226"/>
    </row>
    <row r="437" spans="8:8" ht="13">
      <c r="H437" s="226"/>
    </row>
    <row r="438" spans="8:8" ht="13">
      <c r="H438" s="226"/>
    </row>
    <row r="439" spans="8:8" ht="13">
      <c r="H439" s="226"/>
    </row>
    <row r="440" spans="8:8" ht="13">
      <c r="H440" s="226"/>
    </row>
    <row r="441" spans="8:8" ht="13">
      <c r="H441" s="226"/>
    </row>
    <row r="442" spans="8:8" ht="13">
      <c r="H442" s="226"/>
    </row>
    <row r="443" spans="8:8" ht="13">
      <c r="H443" s="226"/>
    </row>
    <row r="444" spans="8:8" ht="13">
      <c r="H444" s="226"/>
    </row>
    <row r="445" spans="8:8" ht="13">
      <c r="H445" s="226"/>
    </row>
    <row r="446" spans="8:8" ht="13">
      <c r="H446" s="226"/>
    </row>
    <row r="447" spans="8:8" ht="13">
      <c r="H447" s="226"/>
    </row>
    <row r="448" spans="8:8" ht="13">
      <c r="H448" s="226"/>
    </row>
    <row r="449" spans="8:8" ht="13">
      <c r="H449" s="226"/>
    </row>
    <row r="450" spans="8:8" ht="13">
      <c r="H450" s="226"/>
    </row>
    <row r="451" spans="8:8" ht="13">
      <c r="H451" s="226"/>
    </row>
    <row r="452" spans="8:8" ht="13">
      <c r="H452" s="226"/>
    </row>
    <row r="453" spans="8:8" ht="13">
      <c r="H453" s="226"/>
    </row>
    <row r="454" spans="8:8" ht="13">
      <c r="H454" s="226"/>
    </row>
    <row r="455" spans="8:8" ht="13">
      <c r="H455" s="226"/>
    </row>
    <row r="456" spans="8:8" ht="13">
      <c r="H456" s="226"/>
    </row>
    <row r="457" spans="8:8" ht="13">
      <c r="H457" s="226"/>
    </row>
    <row r="458" spans="8:8" ht="13">
      <c r="H458" s="226"/>
    </row>
    <row r="459" spans="8:8" ht="13">
      <c r="H459" s="226"/>
    </row>
    <row r="460" spans="8:8" ht="13">
      <c r="H460" s="226"/>
    </row>
    <row r="461" spans="8:8" ht="13">
      <c r="H461" s="226"/>
    </row>
    <row r="462" spans="8:8" ht="13">
      <c r="H462" s="226"/>
    </row>
    <row r="463" spans="8:8" ht="13">
      <c r="H463" s="226"/>
    </row>
    <row r="464" spans="8:8" ht="13">
      <c r="H464" s="226"/>
    </row>
    <row r="465" spans="8:8" ht="13">
      <c r="H465" s="226"/>
    </row>
    <row r="466" spans="8:8" ht="13">
      <c r="H466" s="226"/>
    </row>
    <row r="467" spans="8:8" ht="13">
      <c r="H467" s="226"/>
    </row>
    <row r="468" spans="8:8" ht="13">
      <c r="H468" s="226"/>
    </row>
    <row r="469" spans="8:8" ht="13">
      <c r="H469" s="226"/>
    </row>
    <row r="470" spans="8:8" ht="13">
      <c r="H470" s="226"/>
    </row>
    <row r="471" spans="8:8" ht="13">
      <c r="H471" s="226"/>
    </row>
    <row r="472" spans="8:8" ht="13">
      <c r="H472" s="226"/>
    </row>
    <row r="473" spans="8:8" ht="13">
      <c r="H473" s="226"/>
    </row>
    <row r="474" spans="8:8" ht="13">
      <c r="H474" s="226"/>
    </row>
    <row r="475" spans="8:8" ht="13">
      <c r="H475" s="226"/>
    </row>
    <row r="476" spans="8:8" ht="13">
      <c r="H476" s="226"/>
    </row>
    <row r="477" spans="8:8" ht="13">
      <c r="H477" s="226"/>
    </row>
    <row r="478" spans="8:8" ht="13">
      <c r="H478" s="226"/>
    </row>
    <row r="479" spans="8:8" ht="13">
      <c r="H479" s="226"/>
    </row>
    <row r="480" spans="8:8" ht="13">
      <c r="H480" s="226"/>
    </row>
    <row r="481" spans="8:8" ht="13">
      <c r="H481" s="226"/>
    </row>
    <row r="482" spans="8:8" ht="13">
      <c r="H482" s="226"/>
    </row>
    <row r="483" spans="8:8" ht="13">
      <c r="H483" s="226"/>
    </row>
    <row r="484" spans="8:8" ht="13">
      <c r="H484" s="226"/>
    </row>
    <row r="485" spans="8:8" ht="13">
      <c r="H485" s="226"/>
    </row>
    <row r="486" spans="8:8" ht="13">
      <c r="H486" s="226"/>
    </row>
    <row r="487" spans="8:8" ht="13">
      <c r="H487" s="226"/>
    </row>
    <row r="488" spans="8:8" ht="13">
      <c r="H488" s="226"/>
    </row>
    <row r="489" spans="8:8" ht="13">
      <c r="H489" s="226"/>
    </row>
    <row r="490" spans="8:8" ht="13">
      <c r="H490" s="226"/>
    </row>
    <row r="491" spans="8:8" ht="13">
      <c r="H491" s="226"/>
    </row>
    <row r="492" spans="8:8" ht="13">
      <c r="H492" s="226"/>
    </row>
    <row r="493" spans="8:8" ht="13">
      <c r="H493" s="226"/>
    </row>
    <row r="494" spans="8:8" ht="13">
      <c r="H494" s="226"/>
    </row>
    <row r="495" spans="8:8" ht="13">
      <c r="H495" s="226"/>
    </row>
    <row r="496" spans="8:8" ht="13">
      <c r="H496" s="226"/>
    </row>
    <row r="497" spans="8:8" ht="13">
      <c r="H497" s="226"/>
    </row>
    <row r="498" spans="8:8" ht="13">
      <c r="H498" s="226"/>
    </row>
    <row r="499" spans="8:8" ht="13">
      <c r="H499" s="226"/>
    </row>
    <row r="500" spans="8:8" ht="13">
      <c r="H500" s="226"/>
    </row>
    <row r="501" spans="8:8" ht="13">
      <c r="H501" s="226"/>
    </row>
    <row r="502" spans="8:8" ht="13">
      <c r="H502" s="226"/>
    </row>
    <row r="503" spans="8:8" ht="13">
      <c r="H503" s="226"/>
    </row>
    <row r="504" spans="8:8" ht="13">
      <c r="H504" s="226"/>
    </row>
    <row r="505" spans="8:8" ht="13">
      <c r="H505" s="226"/>
    </row>
    <row r="506" spans="8:8" ht="13">
      <c r="H506" s="226"/>
    </row>
    <row r="507" spans="8:8" ht="13">
      <c r="H507" s="226"/>
    </row>
    <row r="508" spans="8:8" ht="13">
      <c r="H508" s="226"/>
    </row>
    <row r="509" spans="8:8" ht="13">
      <c r="H509" s="226"/>
    </row>
    <row r="510" spans="8:8" ht="13">
      <c r="H510" s="226"/>
    </row>
    <row r="511" spans="8:8" ht="13">
      <c r="H511" s="226"/>
    </row>
    <row r="512" spans="8:8" ht="13">
      <c r="H512" s="226"/>
    </row>
    <row r="513" spans="8:8" ht="13">
      <c r="H513" s="226"/>
    </row>
    <row r="514" spans="8:8" ht="13">
      <c r="H514" s="226"/>
    </row>
    <row r="515" spans="8:8" ht="13">
      <c r="H515" s="226"/>
    </row>
    <row r="516" spans="8:8" ht="13">
      <c r="H516" s="226"/>
    </row>
    <row r="517" spans="8:8" ht="13">
      <c r="H517" s="226"/>
    </row>
    <row r="518" spans="8:8" ht="13">
      <c r="H518" s="226"/>
    </row>
    <row r="519" spans="8:8" ht="13">
      <c r="H519" s="226"/>
    </row>
    <row r="520" spans="8:8" ht="13">
      <c r="H520" s="226"/>
    </row>
    <row r="521" spans="8:8" ht="13">
      <c r="H521" s="226"/>
    </row>
    <row r="522" spans="8:8" ht="13">
      <c r="H522" s="226"/>
    </row>
    <row r="523" spans="8:8" ht="13">
      <c r="H523" s="226"/>
    </row>
    <row r="524" spans="8:8" ht="13">
      <c r="H524" s="226"/>
    </row>
    <row r="525" spans="8:8" ht="13">
      <c r="H525" s="226"/>
    </row>
    <row r="526" spans="8:8" ht="13">
      <c r="H526" s="226"/>
    </row>
    <row r="527" spans="8:8" ht="13">
      <c r="H527" s="226"/>
    </row>
    <row r="528" spans="8:8" ht="13">
      <c r="H528" s="226"/>
    </row>
    <row r="529" spans="8:8" ht="13">
      <c r="H529" s="226"/>
    </row>
    <row r="530" spans="8:8" ht="13">
      <c r="H530" s="226"/>
    </row>
    <row r="531" spans="8:8" ht="13">
      <c r="H531" s="226"/>
    </row>
    <row r="532" spans="8:8" ht="13">
      <c r="H532" s="226"/>
    </row>
    <row r="533" spans="8:8" ht="13">
      <c r="H533" s="226"/>
    </row>
    <row r="534" spans="8:8" ht="13">
      <c r="H534" s="226"/>
    </row>
    <row r="535" spans="8:8" ht="13">
      <c r="H535" s="226"/>
    </row>
    <row r="536" spans="8:8" ht="13">
      <c r="H536" s="226"/>
    </row>
    <row r="537" spans="8:8" ht="13">
      <c r="H537" s="226"/>
    </row>
    <row r="538" spans="8:8" ht="13">
      <c r="H538" s="226"/>
    </row>
    <row r="539" spans="8:8" ht="13">
      <c r="H539" s="226"/>
    </row>
    <row r="540" spans="8:8" ht="13">
      <c r="H540" s="226"/>
    </row>
    <row r="541" spans="8:8" ht="13">
      <c r="H541" s="226"/>
    </row>
    <row r="542" spans="8:8" ht="13">
      <c r="H542" s="226"/>
    </row>
    <row r="543" spans="8:8" ht="13">
      <c r="H543" s="226"/>
    </row>
    <row r="544" spans="8:8" ht="13">
      <c r="H544" s="226"/>
    </row>
    <row r="545" spans="8:8" ht="13">
      <c r="H545" s="226"/>
    </row>
    <row r="546" spans="8:8" ht="13">
      <c r="H546" s="226"/>
    </row>
    <row r="547" spans="8:8" ht="13">
      <c r="H547" s="226"/>
    </row>
    <row r="548" spans="8:8" ht="13">
      <c r="H548" s="226"/>
    </row>
    <row r="549" spans="8:8" ht="13">
      <c r="H549" s="226"/>
    </row>
    <row r="550" spans="8:8" ht="13">
      <c r="H550" s="226"/>
    </row>
    <row r="551" spans="8:8" ht="13">
      <c r="H551" s="226"/>
    </row>
    <row r="552" spans="8:8" ht="13">
      <c r="H552" s="226"/>
    </row>
    <row r="553" spans="8:8" ht="13">
      <c r="H553" s="226"/>
    </row>
    <row r="554" spans="8:8" ht="13">
      <c r="H554" s="226"/>
    </row>
    <row r="555" spans="8:8" ht="13">
      <c r="H555" s="226"/>
    </row>
    <row r="556" spans="8:8" ht="13">
      <c r="H556" s="226"/>
    </row>
    <row r="557" spans="8:8" ht="13">
      <c r="H557" s="226"/>
    </row>
    <row r="558" spans="8:8" ht="13">
      <c r="H558" s="226"/>
    </row>
    <row r="559" spans="8:8" ht="13">
      <c r="H559" s="226"/>
    </row>
    <row r="560" spans="8:8" ht="13">
      <c r="H560" s="226"/>
    </row>
    <row r="561" spans="8:8" ht="13">
      <c r="H561" s="226"/>
    </row>
    <row r="562" spans="8:8" ht="13">
      <c r="H562" s="226"/>
    </row>
    <row r="563" spans="8:8" ht="13">
      <c r="H563" s="226"/>
    </row>
    <row r="564" spans="8:8" ht="13">
      <c r="H564" s="226"/>
    </row>
    <row r="565" spans="8:8" ht="13">
      <c r="H565" s="226"/>
    </row>
    <row r="566" spans="8:8" ht="13">
      <c r="H566" s="226"/>
    </row>
    <row r="567" spans="8:8" ht="13">
      <c r="H567" s="226"/>
    </row>
    <row r="568" spans="8:8" ht="13">
      <c r="H568" s="226"/>
    </row>
    <row r="569" spans="8:8" ht="13">
      <c r="H569" s="226"/>
    </row>
    <row r="570" spans="8:8" ht="13">
      <c r="H570" s="226"/>
    </row>
    <row r="571" spans="8:8" ht="13">
      <c r="H571" s="226"/>
    </row>
    <row r="572" spans="8:8" ht="13">
      <c r="H572" s="226"/>
    </row>
    <row r="573" spans="8:8" ht="13">
      <c r="H573" s="226"/>
    </row>
    <row r="574" spans="8:8" ht="13">
      <c r="H574" s="226"/>
    </row>
    <row r="575" spans="8:8" ht="13">
      <c r="H575" s="226"/>
    </row>
    <row r="576" spans="8:8" ht="13">
      <c r="H576" s="226"/>
    </row>
    <row r="577" spans="8:8" ht="13">
      <c r="H577" s="226"/>
    </row>
    <row r="578" spans="8:8" ht="13">
      <c r="H578" s="226"/>
    </row>
    <row r="579" spans="8:8" ht="13">
      <c r="H579" s="226"/>
    </row>
    <row r="580" spans="8:8" ht="13">
      <c r="H580" s="226"/>
    </row>
    <row r="581" spans="8:8" ht="13">
      <c r="H581" s="226"/>
    </row>
    <row r="582" spans="8:8" ht="13">
      <c r="H582" s="226"/>
    </row>
    <row r="583" spans="8:8" ht="13">
      <c r="H583" s="226"/>
    </row>
    <row r="584" spans="8:8" ht="13">
      <c r="H584" s="226"/>
    </row>
    <row r="585" spans="8:8" ht="13">
      <c r="H585" s="226"/>
    </row>
    <row r="586" spans="8:8" ht="13">
      <c r="H586" s="226"/>
    </row>
    <row r="587" spans="8:8" ht="13">
      <c r="H587" s="226"/>
    </row>
    <row r="588" spans="8:8" ht="13">
      <c r="H588" s="226"/>
    </row>
    <row r="589" spans="8:8" ht="13">
      <c r="H589" s="226"/>
    </row>
    <row r="590" spans="8:8" ht="13">
      <c r="H590" s="226"/>
    </row>
    <row r="591" spans="8:8" ht="13">
      <c r="H591" s="226"/>
    </row>
    <row r="592" spans="8:8" ht="13">
      <c r="H592" s="226"/>
    </row>
    <row r="593" spans="8:8" ht="13">
      <c r="H593" s="226"/>
    </row>
    <row r="594" spans="8:8" ht="13">
      <c r="H594" s="226"/>
    </row>
    <row r="595" spans="8:8" ht="13">
      <c r="H595" s="226"/>
    </row>
    <row r="596" spans="8:8" ht="13">
      <c r="H596" s="226"/>
    </row>
    <row r="597" spans="8:8" ht="13">
      <c r="H597" s="226"/>
    </row>
    <row r="598" spans="8:8" ht="13">
      <c r="H598" s="226"/>
    </row>
    <row r="599" spans="8:8" ht="13">
      <c r="H599" s="226"/>
    </row>
    <row r="600" spans="8:8" ht="13">
      <c r="H600" s="226"/>
    </row>
    <row r="601" spans="8:8" ht="13">
      <c r="H601" s="226"/>
    </row>
    <row r="602" spans="8:8" ht="13">
      <c r="H602" s="226"/>
    </row>
    <row r="603" spans="8:8" ht="13">
      <c r="H603" s="226"/>
    </row>
    <row r="604" spans="8:8" ht="13">
      <c r="H604" s="226"/>
    </row>
    <row r="605" spans="8:8" ht="13">
      <c r="H605" s="226"/>
    </row>
    <row r="606" spans="8:8" ht="13">
      <c r="H606" s="226"/>
    </row>
    <row r="607" spans="8:8" ht="13">
      <c r="H607" s="226"/>
    </row>
    <row r="608" spans="8:8" ht="13">
      <c r="H608" s="226"/>
    </row>
    <row r="609" spans="8:8" ht="13">
      <c r="H609" s="226"/>
    </row>
    <row r="610" spans="8:8" ht="13">
      <c r="H610" s="226"/>
    </row>
    <row r="611" spans="8:8" ht="13">
      <c r="H611" s="226"/>
    </row>
    <row r="612" spans="8:8" ht="13">
      <c r="H612" s="226"/>
    </row>
    <row r="613" spans="8:8" ht="13">
      <c r="H613" s="226"/>
    </row>
    <row r="614" spans="8:8" ht="13">
      <c r="H614" s="226"/>
    </row>
    <row r="615" spans="8:8" ht="13">
      <c r="H615" s="226"/>
    </row>
    <row r="616" spans="8:8" ht="13">
      <c r="H616" s="226"/>
    </row>
    <row r="617" spans="8:8" ht="13">
      <c r="H617" s="226"/>
    </row>
    <row r="618" spans="8:8" ht="13">
      <c r="H618" s="226"/>
    </row>
    <row r="619" spans="8:8" ht="13">
      <c r="H619" s="226"/>
    </row>
    <row r="620" spans="8:8" ht="13">
      <c r="H620" s="226"/>
    </row>
    <row r="621" spans="8:8" ht="13">
      <c r="H621" s="226"/>
    </row>
    <row r="622" spans="8:8" ht="13">
      <c r="H622" s="226"/>
    </row>
    <row r="623" spans="8:8" ht="13">
      <c r="H623" s="226"/>
    </row>
    <row r="624" spans="8:8" ht="13">
      <c r="H624" s="226"/>
    </row>
    <row r="625" spans="8:8" ht="13">
      <c r="H625" s="226"/>
    </row>
    <row r="626" spans="8:8" ht="13">
      <c r="H626" s="226"/>
    </row>
    <row r="627" spans="8:8" ht="13">
      <c r="H627" s="226"/>
    </row>
    <row r="628" spans="8:8" ht="13">
      <c r="H628" s="226"/>
    </row>
    <row r="629" spans="8:8" ht="13">
      <c r="H629" s="226"/>
    </row>
    <row r="630" spans="8:8" ht="13">
      <c r="H630" s="226"/>
    </row>
    <row r="631" spans="8:8" ht="13">
      <c r="H631" s="226"/>
    </row>
    <row r="632" spans="8:8" ht="13">
      <c r="H632" s="226"/>
    </row>
    <row r="633" spans="8:8" ht="13">
      <c r="H633" s="226"/>
    </row>
    <row r="634" spans="8:8" ht="13">
      <c r="H634" s="226"/>
    </row>
    <row r="635" spans="8:8" ht="13">
      <c r="H635" s="226"/>
    </row>
    <row r="636" spans="8:8" ht="13">
      <c r="H636" s="226"/>
    </row>
    <row r="637" spans="8:8" ht="13">
      <c r="H637" s="226"/>
    </row>
    <row r="638" spans="8:8" ht="13">
      <c r="H638" s="226"/>
    </row>
    <row r="639" spans="8:8" ht="13">
      <c r="H639" s="226"/>
    </row>
    <row r="640" spans="8:8" ht="13">
      <c r="H640" s="226"/>
    </row>
    <row r="641" spans="8:8" ht="13">
      <c r="H641" s="226"/>
    </row>
    <row r="642" spans="8:8" ht="13">
      <c r="H642" s="226"/>
    </row>
    <row r="643" spans="8:8" ht="13">
      <c r="H643" s="226"/>
    </row>
    <row r="644" spans="8:8" ht="13">
      <c r="H644" s="226"/>
    </row>
    <row r="645" spans="8:8" ht="13">
      <c r="H645" s="226"/>
    </row>
    <row r="646" spans="8:8" ht="13">
      <c r="H646" s="226"/>
    </row>
    <row r="647" spans="8:8" ht="13">
      <c r="H647" s="226"/>
    </row>
    <row r="648" spans="8:8" ht="13">
      <c r="H648" s="226"/>
    </row>
    <row r="649" spans="8:8" ht="13">
      <c r="H649" s="226"/>
    </row>
    <row r="650" spans="8:8" ht="13">
      <c r="H650" s="226"/>
    </row>
    <row r="651" spans="8:8" ht="13">
      <c r="H651" s="226"/>
    </row>
    <row r="652" spans="8:8" ht="13">
      <c r="H652" s="226"/>
    </row>
    <row r="653" spans="8:8" ht="13">
      <c r="H653" s="226"/>
    </row>
    <row r="654" spans="8:8" ht="13">
      <c r="H654" s="226"/>
    </row>
    <row r="655" spans="8:8" ht="13">
      <c r="H655" s="226"/>
    </row>
    <row r="656" spans="8:8" ht="13">
      <c r="H656" s="226"/>
    </row>
    <row r="657" spans="8:8" ht="13">
      <c r="H657" s="226"/>
    </row>
    <row r="658" spans="8:8" ht="13">
      <c r="H658" s="226"/>
    </row>
    <row r="659" spans="8:8" ht="13">
      <c r="H659" s="226"/>
    </row>
    <row r="660" spans="8:8" ht="13">
      <c r="H660" s="226"/>
    </row>
    <row r="661" spans="8:8" ht="13">
      <c r="H661" s="226"/>
    </row>
    <row r="662" spans="8:8" ht="13">
      <c r="H662" s="226"/>
    </row>
    <row r="663" spans="8:8" ht="13">
      <c r="H663" s="226"/>
    </row>
    <row r="664" spans="8:8" ht="13">
      <c r="H664" s="226"/>
    </row>
    <row r="665" spans="8:8" ht="13">
      <c r="H665" s="226"/>
    </row>
    <row r="666" spans="8:8" ht="13">
      <c r="H666" s="226"/>
    </row>
    <row r="667" spans="8:8" ht="13">
      <c r="H667" s="226"/>
    </row>
    <row r="668" spans="8:8" ht="13">
      <c r="H668" s="226"/>
    </row>
    <row r="669" spans="8:8" ht="13">
      <c r="H669" s="226"/>
    </row>
    <row r="670" spans="8:8" ht="13">
      <c r="H670" s="226"/>
    </row>
    <row r="671" spans="8:8" ht="13">
      <c r="H671" s="226"/>
    </row>
    <row r="672" spans="8:8" ht="13">
      <c r="H672" s="226"/>
    </row>
    <row r="673" spans="8:8" ht="13">
      <c r="H673" s="226"/>
    </row>
    <row r="674" spans="8:8" ht="13">
      <c r="H674" s="226"/>
    </row>
    <row r="675" spans="8:8" ht="13">
      <c r="H675" s="226"/>
    </row>
    <row r="676" spans="8:8" ht="13">
      <c r="H676" s="226"/>
    </row>
    <row r="677" spans="8:8" ht="13">
      <c r="H677" s="226"/>
    </row>
    <row r="678" spans="8:8" ht="13">
      <c r="H678" s="226"/>
    </row>
    <row r="679" spans="8:8" ht="13">
      <c r="H679" s="226"/>
    </row>
    <row r="680" spans="8:8" ht="13">
      <c r="H680" s="226"/>
    </row>
    <row r="681" spans="8:8" ht="13">
      <c r="H681" s="226"/>
    </row>
    <row r="682" spans="8:8" ht="13">
      <c r="H682" s="226"/>
    </row>
    <row r="683" spans="8:8" ht="13">
      <c r="H683" s="226"/>
    </row>
    <row r="684" spans="8:8" ht="13">
      <c r="H684" s="226"/>
    </row>
    <row r="685" spans="8:8" ht="13">
      <c r="H685" s="226"/>
    </row>
    <row r="686" spans="8:8" ht="13">
      <c r="H686" s="226"/>
    </row>
    <row r="687" spans="8:8" ht="13">
      <c r="H687" s="226"/>
    </row>
    <row r="688" spans="8:8" ht="13">
      <c r="H688" s="226"/>
    </row>
    <row r="689" spans="8:8" ht="13">
      <c r="H689" s="226"/>
    </row>
    <row r="690" spans="8:8" ht="13">
      <c r="H690" s="226"/>
    </row>
    <row r="691" spans="8:8" ht="13">
      <c r="H691" s="226"/>
    </row>
    <row r="692" spans="8:8" ht="13">
      <c r="H692" s="226"/>
    </row>
    <row r="693" spans="8:8" ht="13">
      <c r="H693" s="226"/>
    </row>
    <row r="694" spans="8:8" ht="13">
      <c r="H694" s="226"/>
    </row>
    <row r="695" spans="8:8" ht="13">
      <c r="H695" s="226"/>
    </row>
    <row r="696" spans="8:8" ht="13">
      <c r="H696" s="226"/>
    </row>
    <row r="697" spans="8:8" ht="13">
      <c r="H697" s="226"/>
    </row>
    <row r="698" spans="8:8" ht="13">
      <c r="H698" s="226"/>
    </row>
    <row r="699" spans="8:8" ht="13">
      <c r="H699" s="226"/>
    </row>
    <row r="700" spans="8:8" ht="13">
      <c r="H700" s="226"/>
    </row>
    <row r="701" spans="8:8" ht="13">
      <c r="H701" s="226"/>
    </row>
    <row r="702" spans="8:8" ht="13">
      <c r="H702" s="226"/>
    </row>
    <row r="703" spans="8:8" ht="13">
      <c r="H703" s="226"/>
    </row>
    <row r="704" spans="8:8" ht="13">
      <c r="H704" s="226"/>
    </row>
    <row r="705" spans="8:8" ht="13">
      <c r="H705" s="226"/>
    </row>
    <row r="706" spans="8:8" ht="13">
      <c r="H706" s="226"/>
    </row>
    <row r="707" spans="8:8" ht="13">
      <c r="H707" s="226"/>
    </row>
    <row r="708" spans="8:8" ht="13">
      <c r="H708" s="226"/>
    </row>
    <row r="709" spans="8:8" ht="13">
      <c r="H709" s="226"/>
    </row>
    <row r="710" spans="8:8" ht="13">
      <c r="H710" s="226"/>
    </row>
    <row r="711" spans="8:8" ht="13">
      <c r="H711" s="226"/>
    </row>
    <row r="712" spans="8:8" ht="13">
      <c r="H712" s="226"/>
    </row>
    <row r="713" spans="8:8" ht="13">
      <c r="H713" s="226"/>
    </row>
    <row r="714" spans="8:8" ht="13">
      <c r="H714" s="226"/>
    </row>
    <row r="715" spans="8:8" ht="13">
      <c r="H715" s="226"/>
    </row>
    <row r="716" spans="8:8" ht="13">
      <c r="H716" s="226"/>
    </row>
    <row r="717" spans="8:8" ht="13">
      <c r="H717" s="226"/>
    </row>
    <row r="718" spans="8:8" ht="13">
      <c r="H718" s="226"/>
    </row>
    <row r="719" spans="8:8" ht="13">
      <c r="H719" s="226"/>
    </row>
    <row r="720" spans="8:8" ht="13">
      <c r="H720" s="226"/>
    </row>
    <row r="721" spans="8:8" ht="13">
      <c r="H721" s="226"/>
    </row>
    <row r="722" spans="8:8" ht="13">
      <c r="H722" s="226"/>
    </row>
    <row r="723" spans="8:8" ht="13">
      <c r="H723" s="226"/>
    </row>
    <row r="724" spans="8:8" ht="13">
      <c r="H724" s="226"/>
    </row>
    <row r="725" spans="8:8" ht="13">
      <c r="H725" s="226"/>
    </row>
    <row r="726" spans="8:8" ht="13">
      <c r="H726" s="226"/>
    </row>
    <row r="727" spans="8:8" ht="13">
      <c r="H727" s="226"/>
    </row>
    <row r="728" spans="8:8" ht="13">
      <c r="H728" s="226"/>
    </row>
    <row r="729" spans="8:8" ht="13">
      <c r="H729" s="226"/>
    </row>
    <row r="730" spans="8:8" ht="13">
      <c r="H730" s="226"/>
    </row>
    <row r="731" spans="8:8" ht="13">
      <c r="H731" s="226"/>
    </row>
    <row r="732" spans="8:8" ht="13">
      <c r="H732" s="226"/>
    </row>
    <row r="733" spans="8:8" ht="13">
      <c r="H733" s="226"/>
    </row>
    <row r="734" spans="8:8" ht="13">
      <c r="H734" s="226"/>
    </row>
    <row r="735" spans="8:8" ht="13">
      <c r="H735" s="226"/>
    </row>
    <row r="736" spans="8:8" ht="13">
      <c r="H736" s="226"/>
    </row>
    <row r="737" spans="8:8" ht="13">
      <c r="H737" s="226"/>
    </row>
    <row r="738" spans="8:8" ht="13">
      <c r="H738" s="226"/>
    </row>
    <row r="739" spans="8:8" ht="13">
      <c r="H739" s="226"/>
    </row>
    <row r="740" spans="8:8" ht="13">
      <c r="H740" s="226"/>
    </row>
    <row r="741" spans="8:8" ht="13">
      <c r="H741" s="226"/>
    </row>
    <row r="742" spans="8:8" ht="13">
      <c r="H742" s="226"/>
    </row>
    <row r="743" spans="8:8" ht="13">
      <c r="H743" s="226"/>
    </row>
    <row r="744" spans="8:8" ht="13">
      <c r="H744" s="226"/>
    </row>
    <row r="745" spans="8:8" ht="13">
      <c r="H745" s="226"/>
    </row>
    <row r="746" spans="8:8" ht="13">
      <c r="H746" s="226"/>
    </row>
    <row r="747" spans="8:8" ht="13">
      <c r="H747" s="226"/>
    </row>
    <row r="748" spans="8:8" ht="13">
      <c r="H748" s="226"/>
    </row>
    <row r="749" spans="8:8" ht="13">
      <c r="H749" s="226"/>
    </row>
    <row r="750" spans="8:8" ht="13">
      <c r="H750" s="226"/>
    </row>
    <row r="751" spans="8:8" ht="13">
      <c r="H751" s="226"/>
    </row>
    <row r="752" spans="8:8" ht="13">
      <c r="H752" s="226"/>
    </row>
    <row r="753" spans="8:8" ht="13">
      <c r="H753" s="226"/>
    </row>
    <row r="754" spans="8:8" ht="13">
      <c r="H754" s="226"/>
    </row>
    <row r="755" spans="8:8" ht="13">
      <c r="H755" s="226"/>
    </row>
    <row r="756" spans="8:8" ht="13">
      <c r="H756" s="226"/>
    </row>
    <row r="757" spans="8:8" ht="13">
      <c r="H757" s="226"/>
    </row>
    <row r="758" spans="8:8" ht="13">
      <c r="H758" s="226"/>
    </row>
    <row r="759" spans="8:8" ht="13">
      <c r="H759" s="226"/>
    </row>
    <row r="760" spans="8:8" ht="13">
      <c r="H760" s="226"/>
    </row>
    <row r="761" spans="8:8" ht="13">
      <c r="H761" s="226"/>
    </row>
    <row r="762" spans="8:8" ht="13">
      <c r="H762" s="226"/>
    </row>
    <row r="763" spans="8:8" ht="13">
      <c r="H763" s="226"/>
    </row>
    <row r="764" spans="8:8" ht="13">
      <c r="H764" s="226"/>
    </row>
    <row r="765" spans="8:8" ht="13">
      <c r="H765" s="226"/>
    </row>
    <row r="766" spans="8:8" ht="13">
      <c r="H766" s="226"/>
    </row>
    <row r="767" spans="8:8" ht="13">
      <c r="H767" s="226"/>
    </row>
    <row r="768" spans="8:8" ht="13">
      <c r="H768" s="226"/>
    </row>
    <row r="769" spans="8:8" ht="13">
      <c r="H769" s="226"/>
    </row>
    <row r="770" spans="8:8" ht="13">
      <c r="H770" s="226"/>
    </row>
    <row r="771" spans="8:8" ht="13">
      <c r="H771" s="226"/>
    </row>
    <row r="772" spans="8:8" ht="13">
      <c r="H772" s="226"/>
    </row>
    <row r="773" spans="8:8" ht="13">
      <c r="H773" s="226"/>
    </row>
    <row r="774" spans="8:8" ht="13">
      <c r="H774" s="226"/>
    </row>
    <row r="775" spans="8:8" ht="13">
      <c r="H775" s="226"/>
    </row>
    <row r="776" spans="8:8" ht="13">
      <c r="H776" s="226"/>
    </row>
    <row r="777" spans="8:8" ht="13">
      <c r="H777" s="226"/>
    </row>
    <row r="778" spans="8:8" ht="13">
      <c r="H778" s="226"/>
    </row>
    <row r="779" spans="8:8" ht="13">
      <c r="H779" s="226"/>
    </row>
    <row r="780" spans="8:8" ht="13">
      <c r="H780" s="226"/>
    </row>
    <row r="781" spans="8:8" ht="13">
      <c r="H781" s="226"/>
    </row>
    <row r="782" spans="8:8" ht="13">
      <c r="H782" s="226"/>
    </row>
    <row r="783" spans="8:8" ht="13">
      <c r="H783" s="226"/>
    </row>
    <row r="784" spans="8:8" ht="13">
      <c r="H784" s="226"/>
    </row>
    <row r="785" spans="8:8" ht="13">
      <c r="H785" s="226"/>
    </row>
    <row r="786" spans="8:8" ht="13">
      <c r="H786" s="226"/>
    </row>
    <row r="787" spans="8:8" ht="13">
      <c r="H787" s="226"/>
    </row>
    <row r="788" spans="8:8" ht="13">
      <c r="H788" s="226"/>
    </row>
    <row r="789" spans="8:8" ht="13">
      <c r="H789" s="226"/>
    </row>
    <row r="790" spans="8:8" ht="13">
      <c r="H790" s="226"/>
    </row>
    <row r="791" spans="8:8" ht="13">
      <c r="H791" s="226"/>
    </row>
    <row r="792" spans="8:8" ht="13">
      <c r="H792" s="226"/>
    </row>
    <row r="793" spans="8:8" ht="13">
      <c r="H793" s="226"/>
    </row>
    <row r="794" spans="8:8" ht="13">
      <c r="H794" s="226"/>
    </row>
    <row r="795" spans="8:8" ht="13">
      <c r="H795" s="226"/>
    </row>
    <row r="796" spans="8:8" ht="13">
      <c r="H796" s="226"/>
    </row>
    <row r="797" spans="8:8" ht="13">
      <c r="H797" s="226"/>
    </row>
    <row r="798" spans="8:8" ht="13">
      <c r="H798" s="226"/>
    </row>
    <row r="799" spans="8:8" ht="13">
      <c r="H799" s="226"/>
    </row>
    <row r="800" spans="8:8" ht="13">
      <c r="H800" s="226"/>
    </row>
    <row r="801" spans="8:8" ht="13">
      <c r="H801" s="226"/>
    </row>
    <row r="802" spans="8:8" ht="13">
      <c r="H802" s="226"/>
    </row>
    <row r="803" spans="8:8" ht="13">
      <c r="H803" s="226"/>
    </row>
    <row r="804" spans="8:8" ht="13">
      <c r="H804" s="226"/>
    </row>
    <row r="805" spans="8:8" ht="13">
      <c r="H805" s="226"/>
    </row>
    <row r="806" spans="8:8" ht="13">
      <c r="H806" s="226"/>
    </row>
    <row r="807" spans="8:8" ht="13">
      <c r="H807" s="226"/>
    </row>
    <row r="808" spans="8:8" ht="13">
      <c r="H808" s="226"/>
    </row>
    <row r="809" spans="8:8" ht="13">
      <c r="H809" s="226"/>
    </row>
    <row r="810" spans="8:8" ht="13">
      <c r="H810" s="226"/>
    </row>
    <row r="811" spans="8:8" ht="13">
      <c r="H811" s="226"/>
    </row>
    <row r="812" spans="8:8" ht="13">
      <c r="H812" s="226"/>
    </row>
    <row r="813" spans="8:8" ht="13">
      <c r="H813" s="226"/>
    </row>
    <row r="814" spans="8:8" ht="13">
      <c r="H814" s="226"/>
    </row>
    <row r="815" spans="8:8" ht="13">
      <c r="H815" s="226"/>
    </row>
    <row r="816" spans="8:8" ht="13">
      <c r="H816" s="226"/>
    </row>
    <row r="817" spans="8:8" ht="13">
      <c r="H817" s="226"/>
    </row>
    <row r="818" spans="8:8" ht="13">
      <c r="H818" s="226"/>
    </row>
    <row r="819" spans="8:8" ht="13">
      <c r="H819" s="226"/>
    </row>
    <row r="820" spans="8:8" ht="13">
      <c r="H820" s="226"/>
    </row>
    <row r="821" spans="8:8" ht="13">
      <c r="H821" s="226"/>
    </row>
    <row r="822" spans="8:8" ht="13">
      <c r="H822" s="226"/>
    </row>
    <row r="823" spans="8:8" ht="13">
      <c r="H823" s="226"/>
    </row>
    <row r="824" spans="8:8" ht="13">
      <c r="H824" s="226"/>
    </row>
    <row r="825" spans="8:8" ht="13">
      <c r="H825" s="226"/>
    </row>
    <row r="826" spans="8:8" ht="13">
      <c r="H826" s="226"/>
    </row>
    <row r="827" spans="8:8" ht="13">
      <c r="H827" s="226"/>
    </row>
    <row r="828" spans="8:8" ht="13">
      <c r="H828" s="226"/>
    </row>
    <row r="829" spans="8:8" ht="13">
      <c r="H829" s="226"/>
    </row>
    <row r="830" spans="8:8" ht="13">
      <c r="H830" s="226"/>
    </row>
    <row r="831" spans="8:8" ht="13">
      <c r="H831" s="226"/>
    </row>
    <row r="832" spans="8:8" ht="13">
      <c r="H832" s="226"/>
    </row>
    <row r="833" spans="8:8" ht="13">
      <c r="H833" s="226"/>
    </row>
    <row r="834" spans="8:8" ht="13">
      <c r="H834" s="226"/>
    </row>
    <row r="835" spans="8:8" ht="13">
      <c r="H835" s="226"/>
    </row>
    <row r="836" spans="8:8" ht="13">
      <c r="H836" s="226"/>
    </row>
    <row r="837" spans="8:8" ht="13">
      <c r="H837" s="226"/>
    </row>
    <row r="838" spans="8:8" ht="13">
      <c r="H838" s="226"/>
    </row>
    <row r="839" spans="8:8" ht="13">
      <c r="H839" s="226"/>
    </row>
    <row r="840" spans="8:8" ht="13">
      <c r="H840" s="226"/>
    </row>
    <row r="841" spans="8:8" ht="13">
      <c r="H841" s="226"/>
    </row>
    <row r="842" spans="8:8" ht="13">
      <c r="H842" s="226"/>
    </row>
    <row r="843" spans="8:8" ht="13">
      <c r="H843" s="226"/>
    </row>
    <row r="844" spans="8:8" ht="13">
      <c r="H844" s="226"/>
    </row>
    <row r="845" spans="8:8" ht="13">
      <c r="H845" s="226"/>
    </row>
    <row r="846" spans="8:8" ht="13">
      <c r="H846" s="226"/>
    </row>
    <row r="847" spans="8:8" ht="13">
      <c r="H847" s="226"/>
    </row>
    <row r="848" spans="8:8" ht="13">
      <c r="H848" s="226"/>
    </row>
    <row r="849" spans="8:8" ht="13">
      <c r="H849" s="226"/>
    </row>
    <row r="850" spans="8:8" ht="13">
      <c r="H850" s="226"/>
    </row>
    <row r="851" spans="8:8" ht="13">
      <c r="H851" s="226"/>
    </row>
    <row r="852" spans="8:8" ht="13">
      <c r="H852" s="226"/>
    </row>
    <row r="853" spans="8:8" ht="13">
      <c r="H853" s="226"/>
    </row>
    <row r="854" spans="8:8" ht="13">
      <c r="H854" s="226"/>
    </row>
    <row r="855" spans="8:8" ht="13">
      <c r="H855" s="226"/>
    </row>
    <row r="856" spans="8:8" ht="13">
      <c r="H856" s="226"/>
    </row>
    <row r="857" spans="8:8" ht="13">
      <c r="H857" s="226"/>
    </row>
    <row r="858" spans="8:8" ht="13">
      <c r="H858" s="226"/>
    </row>
    <row r="859" spans="8:8" ht="13">
      <c r="H859" s="226"/>
    </row>
    <row r="860" spans="8:8" ht="13">
      <c r="H860" s="226"/>
    </row>
    <row r="861" spans="8:8" ht="13">
      <c r="H861" s="226"/>
    </row>
    <row r="862" spans="8:8" ht="13">
      <c r="H862" s="226"/>
    </row>
    <row r="863" spans="8:8" ht="13">
      <c r="H863" s="226"/>
    </row>
    <row r="864" spans="8:8" ht="13">
      <c r="H864" s="226"/>
    </row>
    <row r="865" spans="8:8" ht="13">
      <c r="H865" s="226"/>
    </row>
    <row r="866" spans="8:8" ht="13">
      <c r="H866" s="226"/>
    </row>
    <row r="867" spans="8:8" ht="13">
      <c r="H867" s="226"/>
    </row>
    <row r="868" spans="8:8" ht="13">
      <c r="H868" s="226"/>
    </row>
    <row r="869" spans="8:8" ht="13">
      <c r="H869" s="226"/>
    </row>
    <row r="870" spans="8:8" ht="13">
      <c r="H870" s="226"/>
    </row>
    <row r="871" spans="8:8" ht="13">
      <c r="H871" s="226"/>
    </row>
    <row r="872" spans="8:8" ht="13">
      <c r="H872" s="226"/>
    </row>
    <row r="873" spans="8:8" ht="13">
      <c r="H873" s="226"/>
    </row>
    <row r="874" spans="8:8" ht="13">
      <c r="H874" s="226"/>
    </row>
    <row r="875" spans="8:8" ht="13">
      <c r="H875" s="226"/>
    </row>
    <row r="876" spans="8:8" ht="13">
      <c r="H876" s="226"/>
    </row>
    <row r="877" spans="8:8" ht="13">
      <c r="H877" s="226"/>
    </row>
    <row r="878" spans="8:8" ht="13">
      <c r="H878" s="226"/>
    </row>
    <row r="879" spans="8:8" ht="13">
      <c r="H879" s="226"/>
    </row>
    <row r="880" spans="8:8" ht="13">
      <c r="H880" s="226"/>
    </row>
    <row r="881" spans="8:8" ht="13">
      <c r="H881" s="226"/>
    </row>
    <row r="882" spans="8:8" ht="13">
      <c r="H882" s="226"/>
    </row>
    <row r="883" spans="8:8" ht="13">
      <c r="H883" s="226"/>
    </row>
    <row r="884" spans="8:8" ht="13">
      <c r="H884" s="226"/>
    </row>
    <row r="885" spans="8:8" ht="13">
      <c r="H885" s="226"/>
    </row>
    <row r="886" spans="8:8" ht="13">
      <c r="H886" s="226"/>
    </row>
    <row r="887" spans="8:8" ht="13">
      <c r="H887" s="226"/>
    </row>
    <row r="888" spans="8:8" ht="13">
      <c r="H888" s="226"/>
    </row>
    <row r="889" spans="8:8" ht="13">
      <c r="H889" s="226"/>
    </row>
    <row r="890" spans="8:8" ht="13">
      <c r="H890" s="226"/>
    </row>
    <row r="891" spans="8:8" ht="13">
      <c r="H891" s="226"/>
    </row>
    <row r="892" spans="8:8" ht="13">
      <c r="H892" s="226"/>
    </row>
    <row r="893" spans="8:8" ht="13">
      <c r="H893" s="226"/>
    </row>
    <row r="894" spans="8:8" ht="13">
      <c r="H894" s="226"/>
    </row>
    <row r="895" spans="8:8" ht="13">
      <c r="H895" s="226"/>
    </row>
    <row r="896" spans="8:8" ht="13">
      <c r="H896" s="226"/>
    </row>
    <row r="897" spans="8:8" ht="13">
      <c r="H897" s="226"/>
    </row>
    <row r="898" spans="8:8" ht="13">
      <c r="H898" s="226"/>
    </row>
    <row r="899" spans="8:8" ht="13">
      <c r="H899" s="226"/>
    </row>
    <row r="900" spans="8:8" ht="13">
      <c r="H900" s="226"/>
    </row>
    <row r="901" spans="8:8" ht="13">
      <c r="H901" s="226"/>
    </row>
    <row r="902" spans="8:8" ht="13">
      <c r="H902" s="226"/>
    </row>
    <row r="903" spans="8:8" ht="13">
      <c r="H903" s="226"/>
    </row>
    <row r="904" spans="8:8" ht="13">
      <c r="H904" s="226"/>
    </row>
    <row r="905" spans="8:8" ht="13">
      <c r="H905" s="226"/>
    </row>
    <row r="906" spans="8:8" ht="13">
      <c r="H906" s="226"/>
    </row>
    <row r="907" spans="8:8" ht="13">
      <c r="H907" s="226"/>
    </row>
    <row r="908" spans="8:8" ht="13">
      <c r="H908" s="226"/>
    </row>
    <row r="909" spans="8:8" ht="13">
      <c r="H909" s="226"/>
    </row>
    <row r="910" spans="8:8" ht="13">
      <c r="H910" s="226"/>
    </row>
    <row r="911" spans="8:8" ht="13">
      <c r="H911" s="226"/>
    </row>
    <row r="912" spans="8:8" ht="13">
      <c r="H912" s="226"/>
    </row>
    <row r="913" spans="8:8" ht="13">
      <c r="H913" s="226"/>
    </row>
    <row r="914" spans="8:8" ht="13">
      <c r="H914" s="226"/>
    </row>
    <row r="915" spans="8:8" ht="13">
      <c r="H915" s="226"/>
    </row>
    <row r="916" spans="8:8" ht="13">
      <c r="H916" s="226"/>
    </row>
    <row r="917" spans="8:8" ht="13">
      <c r="H917" s="226"/>
    </row>
    <row r="918" spans="8:8" ht="13">
      <c r="H918" s="226"/>
    </row>
    <row r="919" spans="8:8" ht="13">
      <c r="H919" s="226"/>
    </row>
    <row r="920" spans="8:8" ht="13">
      <c r="H920" s="226"/>
    </row>
    <row r="921" spans="8:8" ht="13">
      <c r="H921" s="226"/>
    </row>
    <row r="922" spans="8:8" ht="13">
      <c r="H922" s="226"/>
    </row>
    <row r="923" spans="8:8" ht="13">
      <c r="H923" s="226"/>
    </row>
    <row r="924" spans="8:8" ht="13">
      <c r="H924" s="226"/>
    </row>
    <row r="925" spans="8:8" ht="13">
      <c r="H925" s="226"/>
    </row>
    <row r="926" spans="8:8" ht="13">
      <c r="H926" s="226"/>
    </row>
    <row r="927" spans="8:8" ht="13">
      <c r="H927" s="226"/>
    </row>
    <row r="928" spans="8:8" ht="13">
      <c r="H928" s="226"/>
    </row>
    <row r="929" spans="8:8" ht="13">
      <c r="H929" s="226"/>
    </row>
    <row r="930" spans="8:8" ht="13">
      <c r="H930" s="226"/>
    </row>
    <row r="931" spans="8:8" ht="13">
      <c r="H931" s="226"/>
    </row>
    <row r="932" spans="8:8" ht="13">
      <c r="H932" s="226"/>
    </row>
    <row r="933" spans="8:8" ht="13">
      <c r="H933" s="226"/>
    </row>
    <row r="934" spans="8:8" ht="13">
      <c r="H934" s="226"/>
    </row>
    <row r="935" spans="8:8" ht="13">
      <c r="H935" s="226"/>
    </row>
    <row r="936" spans="8:8" ht="13">
      <c r="H936" s="226"/>
    </row>
    <row r="937" spans="8:8" ht="13">
      <c r="H937" s="226"/>
    </row>
    <row r="938" spans="8:8" ht="13">
      <c r="H938" s="226"/>
    </row>
    <row r="939" spans="8:8" ht="13">
      <c r="H939" s="226"/>
    </row>
    <row r="940" spans="8:8" ht="13">
      <c r="H940" s="226"/>
    </row>
    <row r="941" spans="8:8" ht="13">
      <c r="H941" s="226"/>
    </row>
    <row r="942" spans="8:8" ht="13">
      <c r="H942" s="226"/>
    </row>
    <row r="943" spans="8:8" ht="13">
      <c r="H943" s="226"/>
    </row>
    <row r="944" spans="8:8" ht="13">
      <c r="H944" s="226"/>
    </row>
    <row r="945" spans="8:8" ht="13">
      <c r="H945" s="226"/>
    </row>
    <row r="946" spans="8:8" ht="13">
      <c r="H946" s="226"/>
    </row>
    <row r="947" spans="8:8" ht="13">
      <c r="H947" s="226"/>
    </row>
    <row r="948" spans="8:8" ht="13">
      <c r="H948" s="226"/>
    </row>
    <row r="949" spans="8:8" ht="13">
      <c r="H949" s="226"/>
    </row>
    <row r="950" spans="8:8" ht="13">
      <c r="H950" s="226"/>
    </row>
    <row r="951" spans="8:8" ht="13">
      <c r="H951" s="226"/>
    </row>
    <row r="952" spans="8:8" ht="13">
      <c r="H952" s="226"/>
    </row>
    <row r="953" spans="8:8" ht="13">
      <c r="H953" s="226"/>
    </row>
    <row r="954" spans="8:8" ht="13">
      <c r="H954" s="226"/>
    </row>
    <row r="955" spans="8:8" ht="13">
      <c r="H955" s="226"/>
    </row>
    <row r="956" spans="8:8" ht="13">
      <c r="H956" s="226"/>
    </row>
    <row r="957" spans="8:8" ht="13">
      <c r="H957" s="226"/>
    </row>
    <row r="958" spans="8:8" ht="13">
      <c r="H958" s="226"/>
    </row>
    <row r="959" spans="8:8" ht="13">
      <c r="H959" s="226"/>
    </row>
    <row r="960" spans="8:8" ht="13">
      <c r="H960" s="226"/>
    </row>
    <row r="961" spans="8:8" ht="13">
      <c r="H961" s="226"/>
    </row>
    <row r="962" spans="8:8" ht="13">
      <c r="H962" s="226"/>
    </row>
    <row r="963" spans="8:8" ht="13">
      <c r="H963" s="226"/>
    </row>
    <row r="964" spans="8:8" ht="13">
      <c r="H964" s="226"/>
    </row>
    <row r="965" spans="8:8" ht="13">
      <c r="H965" s="226"/>
    </row>
    <row r="966" spans="8:8" ht="13">
      <c r="H966" s="226"/>
    </row>
    <row r="967" spans="8:8" ht="13">
      <c r="H967" s="226"/>
    </row>
    <row r="968" spans="8:8" ht="13">
      <c r="H968" s="226"/>
    </row>
    <row r="969" spans="8:8" ht="13">
      <c r="H969" s="226"/>
    </row>
    <row r="970" spans="8:8" ht="13">
      <c r="H970" s="226"/>
    </row>
    <row r="971" spans="8:8" ht="13">
      <c r="H971" s="226"/>
    </row>
    <row r="972" spans="8:8" ht="13">
      <c r="H972" s="226"/>
    </row>
    <row r="973" spans="8:8" ht="13">
      <c r="H973" s="226"/>
    </row>
    <row r="974" spans="8:8" ht="13">
      <c r="H974" s="226"/>
    </row>
    <row r="975" spans="8:8" ht="13">
      <c r="H975" s="226"/>
    </row>
    <row r="976" spans="8:8" ht="13">
      <c r="H976" s="226"/>
    </row>
    <row r="977" spans="8:8" ht="13">
      <c r="H977" s="226"/>
    </row>
    <row r="978" spans="8:8" ht="13">
      <c r="H978" s="226"/>
    </row>
    <row r="979" spans="8:8" ht="13">
      <c r="H979" s="226"/>
    </row>
    <row r="980" spans="8:8" ht="13">
      <c r="H980" s="226"/>
    </row>
    <row r="981" spans="8:8" ht="13">
      <c r="H981" s="226"/>
    </row>
    <row r="982" spans="8:8" ht="13">
      <c r="H982" s="226"/>
    </row>
    <row r="983" spans="8:8" ht="13">
      <c r="H983" s="226"/>
    </row>
    <row r="984" spans="8:8" ht="13">
      <c r="H984" s="226"/>
    </row>
    <row r="985" spans="8:8" ht="13">
      <c r="H985" s="226"/>
    </row>
    <row r="986" spans="8:8" ht="13">
      <c r="H986" s="226"/>
    </row>
    <row r="987" spans="8:8" ht="13">
      <c r="H987" s="226"/>
    </row>
    <row r="988" spans="8:8" ht="13">
      <c r="H988" s="226"/>
    </row>
    <row r="989" spans="8:8" ht="13">
      <c r="H989" s="226"/>
    </row>
    <row r="990" spans="8:8" ht="13">
      <c r="H990" s="226"/>
    </row>
    <row r="991" spans="8:8" ht="13">
      <c r="H991" s="226"/>
    </row>
    <row r="992" spans="8:8" ht="13">
      <c r="H992" s="226"/>
    </row>
    <row r="993" spans="8:8" ht="13">
      <c r="H993" s="226"/>
    </row>
    <row r="994" spans="8:8" ht="13">
      <c r="H994" s="226"/>
    </row>
    <row r="995" spans="8:8" ht="13">
      <c r="H995" s="226"/>
    </row>
    <row r="996" spans="8:8" ht="13">
      <c r="H996" s="226"/>
    </row>
    <row r="997" spans="8:8" ht="13">
      <c r="H997" s="226"/>
    </row>
    <row r="998" spans="8:8" ht="13">
      <c r="H998" s="226"/>
    </row>
    <row r="999" spans="8:8" ht="13">
      <c r="H999" s="226"/>
    </row>
    <row r="1000" spans="8:8" ht="13">
      <c r="H1000" s="226"/>
    </row>
    <row r="1001" spans="8:8" ht="13">
      <c r="H1001" s="226"/>
    </row>
    <row r="1002" spans="8:8" ht="13">
      <c r="H1002" s="226"/>
    </row>
    <row r="1003" spans="8:8" ht="13">
      <c r="H1003" s="226"/>
    </row>
    <row r="1004" spans="8:8" ht="13">
      <c r="H1004" s="226"/>
    </row>
    <row r="1005" spans="8:8" ht="13">
      <c r="H1005" s="226"/>
    </row>
    <row r="1006" spans="8:8" ht="13">
      <c r="H1006" s="226"/>
    </row>
    <row r="1007" spans="8:8" ht="13">
      <c r="H1007" s="226"/>
    </row>
    <row r="1008" spans="8:8" ht="13">
      <c r="H1008" s="226"/>
    </row>
    <row r="1009" spans="8:8" ht="13">
      <c r="H1009" s="226"/>
    </row>
    <row r="1010" spans="8:8" ht="13">
      <c r="H1010" s="226"/>
    </row>
    <row r="1011" spans="8:8" ht="13">
      <c r="H1011" s="226"/>
    </row>
    <row r="1012" spans="8:8" ht="13">
      <c r="H1012" s="226"/>
    </row>
    <row r="1013" spans="8:8" ht="13">
      <c r="H1013" s="226"/>
    </row>
    <row r="1014" spans="8:8" ht="13">
      <c r="H1014" s="226"/>
    </row>
    <row r="1015" spans="8:8" ht="13">
      <c r="H1015" s="226"/>
    </row>
    <row r="1016" spans="8:8" ht="13">
      <c r="H1016" s="226"/>
    </row>
    <row r="1017" spans="8:8" ht="13">
      <c r="H1017" s="226"/>
    </row>
    <row r="1018" spans="8:8" ht="13">
      <c r="H1018" s="226"/>
    </row>
    <row r="1019" spans="8:8" ht="13">
      <c r="H1019" s="226"/>
    </row>
    <row r="1020" spans="8:8" ht="13">
      <c r="H1020" s="226"/>
    </row>
    <row r="1021" spans="8:8" ht="13">
      <c r="H1021" s="226"/>
    </row>
    <row r="1022" spans="8:8" ht="13">
      <c r="H1022" s="226"/>
    </row>
    <row r="1023" spans="8:8" ht="13">
      <c r="H1023" s="226"/>
    </row>
    <row r="1024" spans="8:8" ht="13">
      <c r="H1024" s="226"/>
    </row>
    <row r="1025" spans="8:8" ht="13">
      <c r="H1025" s="226"/>
    </row>
    <row r="1026" spans="8:8" ht="13">
      <c r="H1026" s="226"/>
    </row>
    <row r="1027" spans="8:8" ht="13">
      <c r="H1027" s="226"/>
    </row>
    <row r="1028" spans="8:8" ht="13">
      <c r="H1028" s="226"/>
    </row>
    <row r="1029" spans="8:8" ht="13">
      <c r="H1029" s="226"/>
    </row>
    <row r="1030" spans="8:8" ht="13">
      <c r="H1030" s="226"/>
    </row>
    <row r="1031" spans="8:8" ht="13">
      <c r="H1031" s="226"/>
    </row>
    <row r="1032" spans="8:8" ht="13">
      <c r="H1032" s="226"/>
    </row>
    <row r="1033" spans="8:8" ht="13">
      <c r="H1033" s="226"/>
    </row>
    <row r="1034" spans="8:8" ht="13">
      <c r="H1034" s="226"/>
    </row>
    <row r="1035" spans="8:8" ht="13">
      <c r="H1035" s="226"/>
    </row>
    <row r="1036" spans="8:8" ht="13">
      <c r="H1036" s="226"/>
    </row>
    <row r="1037" spans="8:8" ht="13">
      <c r="H1037" s="226"/>
    </row>
    <row r="1038" spans="8:8" ht="13">
      <c r="H1038" s="226"/>
    </row>
    <row r="1039" spans="8:8" ht="13">
      <c r="H1039" s="226"/>
    </row>
    <row r="1040" spans="8:8" ht="13">
      <c r="H1040" s="226"/>
    </row>
    <row r="1041" spans="8:8" ht="13">
      <c r="H1041" s="226"/>
    </row>
    <row r="1042" spans="8:8" ht="13">
      <c r="H1042" s="226"/>
    </row>
    <row r="1043" spans="8:8" ht="13">
      <c r="H1043" s="226"/>
    </row>
    <row r="1044" spans="8:8" ht="13">
      <c r="H1044" s="226"/>
    </row>
    <row r="1045" spans="8:8" ht="13">
      <c r="H1045" s="226"/>
    </row>
    <row r="1046" spans="8:8" ht="13">
      <c r="H1046" s="226"/>
    </row>
    <row r="1047" spans="8:8" ht="13">
      <c r="H1047" s="226"/>
    </row>
    <row r="1048" spans="8:8" ht="13">
      <c r="H1048" s="226"/>
    </row>
    <row r="1049" spans="8:8" ht="13">
      <c r="H1049" s="226"/>
    </row>
    <row r="1050" spans="8:8" ht="13">
      <c r="H1050" s="226"/>
    </row>
    <row r="1051" spans="8:8" ht="13">
      <c r="H1051" s="226"/>
    </row>
    <row r="1052" spans="8:8" ht="13">
      <c r="H1052" s="226"/>
    </row>
    <row r="1053" spans="8:8" ht="13">
      <c r="H1053" s="226"/>
    </row>
    <row r="1054" spans="8:8" ht="13">
      <c r="H1054" s="226"/>
    </row>
    <row r="1055" spans="8:8" ht="13">
      <c r="H1055" s="226"/>
    </row>
    <row r="1056" spans="8:8" ht="13">
      <c r="H1056" s="226"/>
    </row>
    <row r="1057" spans="8:8" ht="13">
      <c r="H1057" s="226"/>
    </row>
    <row r="1058" spans="8:8" ht="13">
      <c r="H1058" s="226"/>
    </row>
  </sheetData>
  <autoFilter ref="A1:U298" xr:uid="{00000000-0009-0000-0000-00000B000000}">
    <filterColumn colId="18">
      <filters>
        <filter val="Sigma"/>
      </filters>
    </filterColumn>
  </autoFilter>
  <conditionalFormatting sqref="C82:C212">
    <cfRule type="colorScale" priority="1">
      <colorScale>
        <cfvo type="formula" val="10"/>
        <cfvo type="formula" val="50"/>
        <cfvo type="formula" val="400"/>
        <color rgb="FFCFE2F3"/>
        <color rgb="FF709CE0"/>
        <color rgb="FF1155CC"/>
      </colorScale>
    </cfRule>
  </conditionalFormatting>
  <conditionalFormatting sqref="B1 B3:B1058">
    <cfRule type="cellIs" dxfId="108" priority="2" operator="between">
      <formula>50</formula>
      <formula>200</formula>
    </cfRule>
  </conditionalFormatting>
  <conditionalFormatting sqref="B1 B3:B1058">
    <cfRule type="cellIs" dxfId="107" priority="3" operator="between">
      <formula>201</formula>
      <formula>400</formula>
    </cfRule>
  </conditionalFormatting>
  <conditionalFormatting sqref="B3:B1053">
    <cfRule type="cellIs" dxfId="106" priority="4" operator="between">
      <formula>401</formula>
      <formula>650</formula>
    </cfRule>
  </conditionalFormatting>
  <conditionalFormatting sqref="B3:B1053">
    <cfRule type="cellIs" dxfId="105" priority="5" operator="between">
      <formula>651</formula>
      <formula>900</formula>
    </cfRule>
  </conditionalFormatting>
  <conditionalFormatting sqref="B3:B1053">
    <cfRule type="cellIs" dxfId="104" priority="6" operator="greaterThan">
      <formula>900</formula>
    </cfRule>
  </conditionalFormatting>
  <conditionalFormatting sqref="P3:P1053">
    <cfRule type="containsText" dxfId="103" priority="7" operator="containsText" text="yes">
      <formula>NOT(ISERROR(SEARCH(("yes"),(P3))))</formula>
    </cfRule>
  </conditionalFormatting>
  <conditionalFormatting sqref="F1:F1058">
    <cfRule type="colorScale" priority="8">
      <colorScale>
        <cfvo type="min"/>
        <cfvo type="formula" val="150"/>
        <color rgb="FFEAD1DC"/>
        <color rgb="FFA64D79"/>
      </colorScale>
    </cfRule>
  </conditionalFormatting>
  <conditionalFormatting sqref="D3:D212">
    <cfRule type="colorScale" priority="9">
      <colorScale>
        <cfvo type="formula" val="1.2"/>
        <cfvo type="formula" val="4"/>
        <color rgb="FF0B5394"/>
        <color rgb="FFFFFFFF"/>
      </colorScale>
    </cfRule>
  </conditionalFormatting>
  <conditionalFormatting sqref="E3:E212">
    <cfRule type="colorScale" priority="10">
      <colorScale>
        <cfvo type="formula" val="65"/>
        <cfvo type="formula" val="100"/>
        <color rgb="FFD9D2E9"/>
        <color rgb="FF674EA7"/>
      </colorScale>
    </cfRule>
  </conditionalFormatting>
  <conditionalFormatting sqref="D3:D212">
    <cfRule type="containsText" dxfId="102" priority="11" operator="containsText" text="1.2">
      <formula>NOT(ISERROR(SEARCH(("1.2"),(D3))))</formula>
    </cfRule>
  </conditionalFormatting>
  <conditionalFormatting sqref="D3:D147">
    <cfRule type="containsText" dxfId="101" priority="12" operator="containsText" text="1.2">
      <formula>NOT(ISERROR(SEARCH(("1.2"),(D3))))</formula>
    </cfRule>
  </conditionalFormatting>
  <conditionalFormatting sqref="D3:D212">
    <cfRule type="containsText" dxfId="100" priority="13" operator="containsText" text="1.4">
      <formula>NOT(ISERROR(SEARCH(("1.4"),(D3))))</formula>
    </cfRule>
  </conditionalFormatting>
  <conditionalFormatting sqref="D3:D231 E3:AA81">
    <cfRule type="containsText" dxfId="99" priority="14" operator="containsText" text="1.8">
      <formula>NOT(ISERROR(SEARCH(("1.8"),(D3))))</formula>
    </cfRule>
  </conditionalFormatting>
  <conditionalFormatting sqref="D3:D147 E3:AA81">
    <cfRule type="containsText" dxfId="98" priority="15" operator="containsText" text="1.8">
      <formula>NOT(ISERROR(SEARCH(("1.8"),(D3))))</formula>
    </cfRule>
  </conditionalFormatting>
  <conditionalFormatting sqref="D3:AA81">
    <cfRule type="containsText" dxfId="97" priority="16" operator="containsText" text="1.8">
      <formula>NOT(ISERROR(SEARCH(("1.8"),(D3))))</formula>
    </cfRule>
  </conditionalFormatting>
  <conditionalFormatting sqref="D3:AA81">
    <cfRule type="containsText" dxfId="96" priority="17" operator="containsText" text="1.8">
      <formula>NOT(ISERROR(SEARCH(("1.8"),(D3))))</formula>
    </cfRule>
  </conditionalFormatting>
  <conditionalFormatting sqref="D3:AA81">
    <cfRule type="containsText" dxfId="95" priority="18" operator="containsText" text="1.8">
      <formula>NOT(ISERROR(SEARCH(("1.8"),(D3))))</formula>
    </cfRule>
  </conditionalFormatting>
  <conditionalFormatting sqref="D3:AA81">
    <cfRule type="containsText" dxfId="94" priority="19" operator="containsText" text="1.8">
      <formula>NOT(ISERROR(SEARCH(("1.8"),(D3))))</formula>
    </cfRule>
  </conditionalFormatting>
  <conditionalFormatting sqref="D3:AA81">
    <cfRule type="containsText" dxfId="93" priority="20" operator="containsText" text="1.8">
      <formula>NOT(ISERROR(SEARCH(("1.8"),(D3))))</formula>
    </cfRule>
  </conditionalFormatting>
  <conditionalFormatting sqref="D3:AA81">
    <cfRule type="containsText" dxfId="92" priority="21" operator="containsText" text="1.8">
      <formula>NOT(ISERROR(SEARCH(("1.8"),(D3))))</formula>
    </cfRule>
  </conditionalFormatting>
  <conditionalFormatting sqref="D3:AA81">
    <cfRule type="containsText" dxfId="91" priority="22" operator="containsText" text="1.8">
      <formula>NOT(ISERROR(SEARCH(("1.8"),(D3))))</formula>
    </cfRule>
  </conditionalFormatting>
  <conditionalFormatting sqref="D3:AA81">
    <cfRule type="containsText" dxfId="90" priority="23" operator="containsText" text="1.8">
      <formula>NOT(ISERROR(SEARCH(("1.8"),(D3))))</formula>
    </cfRule>
  </conditionalFormatting>
  <conditionalFormatting sqref="D3:AA81">
    <cfRule type="containsText" dxfId="89" priority="24" operator="containsText" text="1.8">
      <formula>NOT(ISERROR(SEARCH(("1.8"),(D3))))</formula>
    </cfRule>
  </conditionalFormatting>
  <conditionalFormatting sqref="D3:AA81">
    <cfRule type="containsText" dxfId="88" priority="25" operator="containsText" text="1.8">
      <formula>NOT(ISERROR(SEARCH(("1.8"),(D3))))</formula>
    </cfRule>
  </conditionalFormatting>
  <conditionalFormatting sqref="D3:AA81">
    <cfRule type="containsText" dxfId="87" priority="26" operator="containsText" text="1.8">
      <formula>NOT(ISERROR(SEARCH(("1.8"),(D3))))</formula>
    </cfRule>
  </conditionalFormatting>
  <conditionalFormatting sqref="D3:AA81">
    <cfRule type="containsText" dxfId="86" priority="27" operator="containsText" text="1.8">
      <formula>NOT(ISERROR(SEARCH(("1.8"),(D3))))</formula>
    </cfRule>
  </conditionalFormatting>
  <dataValidations count="1">
    <dataValidation type="list" allowBlank="1" sqref="S3:S212" xr:uid="{00000000-0002-0000-0B00-000000000000}">
      <formula1>"Sony,Voigtlander,Zeiss,Sigma,Samyang,Viltrox,Tokina,Tamron"</formula1>
    </dataValidation>
  </dataValidations>
  <hyperlinks>
    <hyperlink ref="K1" r:id="rId1" xr:uid="{00000000-0004-0000-0B00-000000000000}"/>
    <hyperlink ref="M1" r:id="rId2" xr:uid="{00000000-0004-0000-0B00-000001000000}"/>
    <hyperlink ref="N1" r:id="rId3"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Y1076"/>
  <sheetViews>
    <sheetView workbookViewId="0">
      <pane xSplit="3" ySplit="3" topLeftCell="D4" activePane="bottomRight" state="frozen"/>
      <selection pane="topRight" activeCell="D1" sqref="D1"/>
      <selection pane="bottomLeft" activeCell="A4" sqref="A4"/>
      <selection pane="bottomRight" activeCell="D4" sqref="D4"/>
    </sheetView>
  </sheetViews>
  <sheetFormatPr baseColWidth="10" defaultColWidth="14.5" defaultRowHeight="15.75" customHeight="1"/>
  <cols>
    <col min="1" max="2" width="4" customWidth="1"/>
    <col min="3" max="3" width="29.1640625" customWidth="1"/>
    <col min="4" max="4" width="6.5" customWidth="1"/>
    <col min="5" max="5" width="8.1640625" customWidth="1"/>
    <col min="6" max="6" width="8" customWidth="1"/>
    <col min="7" max="8" width="7.33203125" customWidth="1"/>
    <col min="9" max="9" width="4" customWidth="1"/>
    <col min="10" max="10" width="7.1640625" customWidth="1"/>
    <col min="11" max="11" width="4.5" customWidth="1"/>
    <col min="12" max="12" width="7.5" customWidth="1"/>
    <col min="13" max="13" width="5.5" customWidth="1"/>
    <col min="14" max="14" width="5" customWidth="1"/>
    <col min="15" max="15" width="6.1640625" customWidth="1"/>
    <col min="16" max="16" width="13.33203125" customWidth="1"/>
    <col min="17" max="17" width="7.5" customWidth="1"/>
    <col min="18" max="19" width="7.6640625" customWidth="1"/>
    <col min="20" max="23" width="4" customWidth="1"/>
    <col min="24" max="24" width="7.5" customWidth="1"/>
  </cols>
  <sheetData>
    <row r="1" spans="1:25" ht="76.5" customHeight="1">
      <c r="A1" s="613"/>
      <c r="B1" s="613"/>
      <c r="C1" s="1" t="s">
        <v>0</v>
      </c>
      <c r="D1" s="2" t="s">
        <v>1</v>
      </c>
      <c r="E1" s="3" t="s">
        <v>2</v>
      </c>
      <c r="F1" s="4" t="s">
        <v>3</v>
      </c>
      <c r="G1" s="5" t="s">
        <v>4</v>
      </c>
      <c r="H1" s="6" t="s">
        <v>5</v>
      </c>
      <c r="I1" s="7" t="s">
        <v>6</v>
      </c>
      <c r="J1" s="8" t="s">
        <v>7</v>
      </c>
      <c r="K1" s="3" t="s">
        <v>8</v>
      </c>
      <c r="L1" s="3" t="s">
        <v>10</v>
      </c>
      <c r="M1" s="5" t="s">
        <v>11</v>
      </c>
      <c r="N1" s="3" t="s">
        <v>12</v>
      </c>
      <c r="O1" s="3" t="s">
        <v>13</v>
      </c>
      <c r="P1" s="3" t="s">
        <v>14</v>
      </c>
      <c r="Q1" s="3" t="s">
        <v>15</v>
      </c>
      <c r="R1" s="9" t="s">
        <v>9</v>
      </c>
      <c r="S1" s="9" t="s">
        <v>16</v>
      </c>
      <c r="T1" s="10" t="s">
        <v>18</v>
      </c>
      <c r="U1" s="11" t="s">
        <v>19</v>
      </c>
      <c r="V1" s="10" t="s">
        <v>20</v>
      </c>
      <c r="W1" s="12" t="s">
        <v>21</v>
      </c>
      <c r="X1" s="13" t="s">
        <v>22</v>
      </c>
    </row>
    <row r="2" spans="1:25" ht="18" customHeight="1">
      <c r="A2" s="613"/>
      <c r="B2" s="613"/>
      <c r="C2" s="14" t="s">
        <v>23</v>
      </c>
      <c r="D2" s="15"/>
      <c r="E2" s="15"/>
      <c r="F2" s="15"/>
      <c r="G2" s="15"/>
      <c r="H2" s="15"/>
      <c r="I2" s="16"/>
      <c r="J2" s="17"/>
      <c r="K2" s="15"/>
      <c r="L2" s="15"/>
      <c r="M2" s="16"/>
      <c r="N2" s="15"/>
      <c r="O2" s="16"/>
      <c r="P2" s="18"/>
      <c r="Q2" s="16"/>
      <c r="R2" s="15"/>
      <c r="S2" s="15"/>
      <c r="T2" s="15"/>
      <c r="U2" s="15"/>
      <c r="V2" s="15"/>
      <c r="W2" s="15"/>
    </row>
    <row r="3" spans="1:25" ht="76.5" customHeight="1">
      <c r="A3" s="614"/>
      <c r="B3" s="614"/>
      <c r="C3" s="19" t="str">
        <f>HYPERLINK("https://phillipreeve.net/blog/review-voigtlander-10mm-5-6-e-hyper-wide-heliar/","Voigtlander 10mm F5.6 Hyper Wide ")</f>
        <v xml:space="preserve">Voigtlander 10mm F5.6 Hyper Wide </v>
      </c>
      <c r="D3" s="21">
        <v>375</v>
      </c>
      <c r="E3" s="23">
        <v>10</v>
      </c>
      <c r="F3" s="25">
        <v>5.6</v>
      </c>
      <c r="G3" s="27">
        <v>67</v>
      </c>
      <c r="H3" s="29" t="s">
        <v>24</v>
      </c>
      <c r="I3" s="31" t="s">
        <v>25</v>
      </c>
      <c r="J3" s="33" t="s">
        <v>26</v>
      </c>
      <c r="K3" s="35">
        <v>6.7000000000000004E-2</v>
      </c>
      <c r="L3" s="37">
        <v>30</v>
      </c>
      <c r="M3" s="39" t="s">
        <v>27</v>
      </c>
      <c r="N3" s="35">
        <v>10</v>
      </c>
      <c r="O3" s="40" t="s">
        <v>28</v>
      </c>
      <c r="P3" s="35" t="s">
        <v>29</v>
      </c>
      <c r="Q3" s="42">
        <v>42552</v>
      </c>
      <c r="R3" s="44">
        <v>1099</v>
      </c>
      <c r="S3" s="44" t="s">
        <v>44</v>
      </c>
      <c r="T3" s="47" t="str">
        <f>HYPERLINK("https://amzn.to/2jJ8WxH","link*")</f>
        <v>link*</v>
      </c>
      <c r="U3" s="47" t="str">
        <f>HYPERLINK("https://www.bhphotovideo.com/c/product/1219550-REG/voigtlander_ba334b_heliar_hyper_wide_10mm_f_5_6.html/BI/19619/KBID/12129/DFF/d10-v21-t1-x732282/SID/EZ","link*")</f>
        <v>link*</v>
      </c>
      <c r="V3" s="47" t="str">
        <f>HYPERLINK("https://amzn.to/2jG72hr","link*")</f>
        <v>link*</v>
      </c>
      <c r="W3" s="47" t="e">
        <f>HYPERLINK("http://rover.ebay.com/rover/1/711-53200-19255-0/1?icep_ff3=9&amp;pub=5575076376&amp;toolid=10001&amp;campid=5338573609&amp;customid=&amp;icep_uq=Voigtlander+Sony+10mm+5.6+&amp;icep_sellerId=&amp;icep_ex_kw=&amp;icep_sortBy=12&amp;icep_catId=3323&amp;icep_minPrice=&amp;icep_maxPrice=&amp;ipn=psmain&amp;icep"&amp;"_vectorid=229466&amp;kwid=902099&amp;mtid=824&amp;kw=lg","link*")</f>
        <v>#VALUE!</v>
      </c>
      <c r="X3" s="56" t="s">
        <v>34</v>
      </c>
    </row>
    <row r="4" spans="1:25" ht="18" customHeight="1">
      <c r="A4" s="14"/>
      <c r="B4" s="14"/>
      <c r="C4" s="66" t="s">
        <v>35</v>
      </c>
      <c r="D4" s="50">
        <v>565</v>
      </c>
      <c r="E4" s="68">
        <v>12</v>
      </c>
      <c r="F4" s="52">
        <v>4</v>
      </c>
      <c r="G4" s="78">
        <v>87</v>
      </c>
      <c r="H4" s="51">
        <v>117</v>
      </c>
      <c r="I4" s="73" t="s">
        <v>36</v>
      </c>
      <c r="J4" s="57" t="s">
        <v>26</v>
      </c>
      <c r="K4" s="59">
        <v>0.14000000000000001</v>
      </c>
      <c r="L4" s="71">
        <v>24</v>
      </c>
      <c r="M4" s="73" t="s">
        <v>27</v>
      </c>
      <c r="N4" s="59">
        <v>7</v>
      </c>
      <c r="O4" s="81" t="s">
        <v>40</v>
      </c>
      <c r="P4" s="59" t="s">
        <v>41</v>
      </c>
      <c r="Q4" s="83">
        <v>42856</v>
      </c>
      <c r="R4" s="61">
        <v>1699</v>
      </c>
      <c r="S4" s="61">
        <v>1250</v>
      </c>
      <c r="T4" s="69" t="str">
        <f>HYPERLINK("https://amzn.to/2SSzKc4","link*")</f>
        <v>link*</v>
      </c>
      <c r="U4" s="69" t="str">
        <f>HYPERLINK("https://www.bhphotovideo.com/c/product/1338517-REG/sony_sel1224g_fe_12_24mm_f_4_g.html/BI/19619/KBID/12129/DFF/d10-v21-t1-x822838/SID/EZ","link*")</f>
        <v>link*</v>
      </c>
      <c r="V4" s="69" t="str">
        <f>HYPERLINK("https://amzn.to/2Kg94zb","link*")</f>
        <v>link*</v>
      </c>
      <c r="W4" s="69" t="e">
        <f>HYPERLINK("http://rover.ebay.com/rover/1/711-53200-19255-0/1?icep_ff3=9&amp;pub=5575076376&amp;toolid=10001&amp;campid=5338573609&amp;customid=&amp;icep_uq=sony+12-24&amp;icep_sellerId=&amp;icep_ex_kw=&amp;icep_sortBy=12&amp;icep_catId=3323&amp;icep_minPrice=&amp;icep_maxPrice=&amp;ipn=psmain&amp;icep_vectorid=229466"&amp;"&amp;kwid=902099&amp;mtid=824&amp;kw=lg","link*")</f>
        <v>#VALUE!</v>
      </c>
    </row>
    <row r="5" spans="1:25" ht="13">
      <c r="A5" s="117" t="b">
        <v>0</v>
      </c>
      <c r="B5" s="615" t="b">
        <v>0</v>
      </c>
      <c r="C5" s="19" t="str">
        <f>HYPERLINK("https://phillipreeve.net/blog/review-voigtlander-12mm-5-6-aspherical-ultra-wide-heliar/","Voigtlander 12mm F5.6 Ultra Wide-Heliar Aspherical")</f>
        <v>Voigtlander 12mm F5.6 Ultra Wide-Heliar Aspherical</v>
      </c>
      <c r="D5" s="21">
        <v>350</v>
      </c>
      <c r="E5" s="23">
        <v>12</v>
      </c>
      <c r="F5" s="25">
        <v>5.6</v>
      </c>
      <c r="G5" s="95">
        <v>67</v>
      </c>
      <c r="H5" s="29">
        <v>68</v>
      </c>
      <c r="I5" s="39" t="s">
        <v>25</v>
      </c>
      <c r="J5" s="33" t="s">
        <v>26</v>
      </c>
      <c r="K5" s="35"/>
      <c r="L5" s="37">
        <v>30</v>
      </c>
      <c r="M5" s="39" t="s">
        <v>27</v>
      </c>
      <c r="N5" s="35">
        <v>10</v>
      </c>
      <c r="O5" s="40" t="s">
        <v>43</v>
      </c>
      <c r="P5" s="35" t="s">
        <v>29</v>
      </c>
      <c r="Q5" s="42">
        <v>42583</v>
      </c>
      <c r="R5" s="44">
        <v>749</v>
      </c>
      <c r="S5" s="44" t="s">
        <v>44</v>
      </c>
      <c r="T5" s="97"/>
      <c r="U5" s="97"/>
      <c r="V5" s="97"/>
      <c r="W5" s="47" t="e">
        <f>HYPERLINK("http://rover.ebay.com/rover/1/711-53200-19255-0/1?icep_ff3=9&amp;pub=5575076376&amp;toolid=10001&amp;campid=5338573609&amp;customid=&amp;icep_uq=Voigtlander+Sony+12mm+5.6+&amp;icep_sellerId=&amp;icep_ex_kw=&amp;icep_sortBy=12&amp;icep_catId=3323&amp;icep_minPrice=&amp;icep_maxPrice=&amp;ipn=psmain&amp;icep"&amp;"_vectorid=229466&amp;kwid=902099&amp;mtid=824&amp;kw=lg","link*")</f>
        <v>#VALUE!</v>
      </c>
      <c r="X5" s="56" t="s">
        <v>46</v>
      </c>
    </row>
    <row r="6" spans="1:25" ht="13">
      <c r="A6" s="207" t="b">
        <v>0</v>
      </c>
      <c r="B6" s="616" t="b">
        <v>0</v>
      </c>
      <c r="C6" s="66" t="s">
        <v>45</v>
      </c>
      <c r="D6" s="50">
        <v>1220</v>
      </c>
      <c r="E6" s="68">
        <v>14</v>
      </c>
      <c r="F6" s="106">
        <v>1.8</v>
      </c>
      <c r="G6" s="108">
        <v>95</v>
      </c>
      <c r="H6" s="109">
        <v>152</v>
      </c>
      <c r="I6" s="59" t="s">
        <v>36</v>
      </c>
      <c r="J6" s="57" t="s">
        <v>26</v>
      </c>
      <c r="K6" s="59">
        <v>0.1</v>
      </c>
      <c r="L6" s="71">
        <v>27</v>
      </c>
      <c r="M6" s="73" t="s">
        <v>27</v>
      </c>
      <c r="N6" s="59">
        <v>9</v>
      </c>
      <c r="O6" s="110">
        <v>43785</v>
      </c>
      <c r="P6" s="59" t="s">
        <v>47</v>
      </c>
      <c r="Q6" s="83">
        <v>43221</v>
      </c>
      <c r="R6" s="61">
        <v>1599</v>
      </c>
      <c r="S6" s="61" t="s">
        <v>44</v>
      </c>
      <c r="T6" s="69" t="str">
        <f>HYPERLINK("https://amzn.to/2SOWTvV","link*")</f>
        <v>link*</v>
      </c>
      <c r="U6" s="69" t="str">
        <f>HYPERLINK("https://www.bhphotovideo.com/c/product/1393489-REG/sigma_14mm_f_1_8_dg_hsm.html/BI/19619/KBID/12129/DFF/d10-v21-t1-x881154/SID/EZ","link*")</f>
        <v>link*</v>
      </c>
      <c r="V6" s="69" t="str">
        <f>HYPERLINK("https://amzn.to/2ZDl4QJ","link*")</f>
        <v>link*</v>
      </c>
      <c r="W6" s="69" t="e">
        <f>HYPERLINK("http://rover.ebay.com/rover/1/711-53200-19255-0/1?icep_ff3=9&amp;pub=5575076376&amp;toolid=10001&amp;campid=5338573609&amp;customid=&amp;icep_uq=sigma+14+1.8+sony&amp;icep_sellerId=&amp;icep_ex_kw=&amp;icep_sortBy=12&amp;icep_catId=3323&amp;icep_minPrice=&amp;icep_maxPrice=&amp;ipn=psmain&amp;icep_vectorid"&amp;"=229466&amp;kwid=902099&amp;mtid=824&amp;kw=lg","link*")</f>
        <v>#VALUE!</v>
      </c>
      <c r="X6" s="77" t="s">
        <v>48</v>
      </c>
    </row>
    <row r="7" spans="1:25" ht="13">
      <c r="A7" s="117" t="b">
        <v>0</v>
      </c>
      <c r="B7" s="615" t="b">
        <v>0</v>
      </c>
      <c r="C7" s="58" t="s">
        <v>49</v>
      </c>
      <c r="D7" s="60">
        <v>795</v>
      </c>
      <c r="E7" s="62">
        <v>14</v>
      </c>
      <c r="F7" s="64">
        <v>2.8</v>
      </c>
      <c r="G7" s="65">
        <v>85</v>
      </c>
      <c r="H7" s="103">
        <v>131</v>
      </c>
      <c r="I7" s="74" t="s">
        <v>36</v>
      </c>
      <c r="J7" s="72" t="s">
        <v>26</v>
      </c>
      <c r="K7" s="74">
        <v>0.14000000000000001</v>
      </c>
      <c r="L7" s="84">
        <v>28</v>
      </c>
      <c r="M7" s="70" t="s">
        <v>27</v>
      </c>
      <c r="N7" s="74">
        <v>11</v>
      </c>
      <c r="O7" s="115" t="s">
        <v>54</v>
      </c>
      <c r="P7" s="74" t="s">
        <v>47</v>
      </c>
      <c r="Q7" s="88">
        <v>43693</v>
      </c>
      <c r="R7" s="76">
        <v>1399</v>
      </c>
      <c r="S7" s="76" t="s">
        <v>44</v>
      </c>
      <c r="T7" s="79" t="str">
        <f>HYPERLINK("https://amzn.to/2zt8rMC","link*")</f>
        <v>link*</v>
      </c>
      <c r="U7" s="79" t="str">
        <f>HYPERLINK("https://www.bhphotovideo.com/c/product/1492972-REG/sigma_213965_14_24mm_f_2_8_dg_dn.html/BI/19619/KBID/12129/DFF/d10-v21-t1-x976041/SID/EZ","link*")</f>
        <v>link*</v>
      </c>
      <c r="V7" s="113" t="s">
        <v>51</v>
      </c>
      <c r="W7" s="79" t="e">
        <f>HYPERLINK("http://rover.ebay.com/rover/1/711-53200-19255-0/1?icep_ff3=9&amp;pub=5575076376&amp;toolid=10001&amp;campid=5338573609&amp;customid=&amp;icep_uq=sigma+14-24+2.8+sony&amp;icep_sellerId=&amp;icep_ex_kw=&amp;icep_sortBy=12&amp;icep_catId=3323&amp;icep_minPrice=&amp;icep_maxPrice=&amp;ipn=psmain&amp;icep_vecto"&amp;"rid=229466&amp;kwid=902099&amp;mtid=824&amp;kw=lg","link*")</f>
        <v>#VALUE!</v>
      </c>
      <c r="X7" s="77" t="s">
        <v>55</v>
      </c>
    </row>
    <row r="8" spans="1:25" ht="13">
      <c r="A8" s="207" t="b">
        <v>0</v>
      </c>
      <c r="B8" s="616" t="b">
        <v>0</v>
      </c>
      <c r="C8" s="120" t="s">
        <v>56</v>
      </c>
      <c r="D8" s="21">
        <v>505</v>
      </c>
      <c r="E8" s="23">
        <v>14</v>
      </c>
      <c r="F8" s="25">
        <v>2.8</v>
      </c>
      <c r="G8" s="122">
        <v>86</v>
      </c>
      <c r="H8" s="123">
        <v>98</v>
      </c>
      <c r="I8" s="35" t="s">
        <v>36</v>
      </c>
      <c r="J8" s="33" t="s">
        <v>26</v>
      </c>
      <c r="K8" s="35">
        <v>0.12</v>
      </c>
      <c r="L8" s="37">
        <v>20</v>
      </c>
      <c r="M8" s="39" t="s">
        <v>27</v>
      </c>
      <c r="N8" s="35">
        <v>7</v>
      </c>
      <c r="O8" s="124">
        <v>43752</v>
      </c>
      <c r="P8" s="35" t="s">
        <v>38</v>
      </c>
      <c r="Q8" s="42">
        <v>43221</v>
      </c>
      <c r="R8" s="44">
        <v>799</v>
      </c>
      <c r="S8" s="44">
        <v>450</v>
      </c>
      <c r="T8" s="47" t="str">
        <f>HYPERLINK("https://amzn.to/2SX2HUi","link*")</f>
        <v>link*</v>
      </c>
      <c r="U8" s="47" t="str">
        <f>HYPERLINK("https://www.bhphotovideo.com/c/product/1352863-REG/samyang_syio14af_e_14mm_f_2_8_f_f_wide.html/BI/19619/KBID/12129/DFF/d10-v21-t1-x837928/SID/EZ","link*")</f>
        <v>link*</v>
      </c>
      <c r="V8" s="47" t="str">
        <f>HYPERLINK("https://amzn.to/31hwSIL","link*")</f>
        <v>link*</v>
      </c>
      <c r="W8" s="47" t="e">
        <f>HYPERLINK("http://rover.ebay.com/rover/1/711-53200-19255-0/1?icep_ff3=9&amp;pub=5575076376&amp;toolid=10001&amp;campid=5338573609&amp;customid=&amp;icep_uq=samyang+af+14+2.8+sony&amp;icep_sellerId=&amp;icep_ex_kw=&amp;icep_sortBy=12&amp;icep_catId=3323&amp;icep_minPrice=&amp;icep_maxPrice=&amp;ipn=psmain&amp;icep_vec"&amp;"torid=229466&amp;kwid=902099&amp;mtid=824&amp;kw=lg","link*")</f>
        <v>#VALUE!</v>
      </c>
      <c r="X8" s="130"/>
    </row>
    <row r="9" spans="1:25" ht="13">
      <c r="A9" s="207" t="b">
        <v>0</v>
      </c>
      <c r="B9" s="616" t="b">
        <v>0</v>
      </c>
      <c r="C9" s="132" t="str">
        <f>HYPERLINK("https://phillipreeve.net/blog/review-voigtlander-15mm-4-5-e-super-wide-heliar/","Voigtlander 15mm F4.5 Super Wide Heliar")</f>
        <v>Voigtlander 15mm F4.5 Super Wide Heliar</v>
      </c>
      <c r="D9" s="133">
        <v>298</v>
      </c>
      <c r="E9" s="135">
        <v>15</v>
      </c>
      <c r="F9" s="137">
        <v>4.5</v>
      </c>
      <c r="G9" s="139">
        <v>67</v>
      </c>
      <c r="H9" s="141">
        <v>62</v>
      </c>
      <c r="I9" s="143" t="s">
        <v>25</v>
      </c>
      <c r="J9" s="145" t="s">
        <v>71</v>
      </c>
      <c r="K9" s="146">
        <v>8.3000000000000004E-2</v>
      </c>
      <c r="L9" s="147">
        <v>30</v>
      </c>
      <c r="M9" s="143" t="s">
        <v>27</v>
      </c>
      <c r="N9" s="146">
        <v>10</v>
      </c>
      <c r="O9" s="149" t="s">
        <v>43</v>
      </c>
      <c r="P9" s="146" t="s">
        <v>29</v>
      </c>
      <c r="Q9" s="150">
        <v>42401</v>
      </c>
      <c r="R9" s="151">
        <v>799</v>
      </c>
      <c r="S9" s="151" t="s">
        <v>44</v>
      </c>
      <c r="T9" s="154" t="str">
        <f>HYPERLINK("https://amzn.to/2YwplrQ","link*")</f>
        <v>link*</v>
      </c>
      <c r="U9" s="154" t="str">
        <f>HYPERLINK("https://www.bhphotovideo.com/c/product/1219549-REG/voigtlander_ba329b_super_wide_heliar_15mm_f_4_5.html/BI/19619/KBID/12129/DFF/d10-v21-t1-x618202/SID/EZ","link*")</f>
        <v>link*</v>
      </c>
      <c r="V9" s="154" t="str">
        <f>HYPERLINK("https://amzn.to/2ZpTKt5","link*")</f>
        <v>link*</v>
      </c>
      <c r="W9" s="154" t="e">
        <f>HYPERLINK("http://rover.ebay.com/rover/1/711-53200-19255-0/1?icep_ff3=9&amp;pub=5575076376&amp;toolid=10001&amp;campid=5338573609&amp;customid=&amp;icep_uq=Voigtlander+Sony+15mm+4.5&amp;icep_sellerId=&amp;icep_ex_kw=&amp;icep_sortBy=12&amp;icep_catId=3323&amp;icep_minPrice=&amp;icep_maxPrice=&amp;ipn=psmain&amp;icep_"&amp;"vectorid=229466&amp;kwid=902099&amp;mtid=824&amp;kw=lg","link*")</f>
        <v>#VALUE!</v>
      </c>
      <c r="X9" s="130"/>
    </row>
    <row r="10" spans="1:25" ht="13">
      <c r="A10" s="207" t="b">
        <v>0</v>
      </c>
      <c r="B10" s="616" t="b">
        <v>0</v>
      </c>
      <c r="C10" s="157" t="str">
        <f>HYPERLINK("https://phillipreeve.net/blog/sony-fe-16-35mm-f4-za-t-review/","Sony ZA 4/16-35 OSS ")</f>
        <v xml:space="preserve">Sony ZA 4/16-35 OSS </v>
      </c>
      <c r="D10" s="50">
        <v>523</v>
      </c>
      <c r="E10" s="68">
        <v>16</v>
      </c>
      <c r="F10" s="52">
        <v>4</v>
      </c>
      <c r="G10" s="78">
        <v>78</v>
      </c>
      <c r="H10" s="51">
        <v>98</v>
      </c>
      <c r="I10" s="73" t="s">
        <v>36</v>
      </c>
      <c r="J10" s="57" t="s">
        <v>64</v>
      </c>
      <c r="K10" s="59">
        <v>0.19</v>
      </c>
      <c r="L10" s="71">
        <v>28</v>
      </c>
      <c r="M10" s="158" t="s">
        <v>66</v>
      </c>
      <c r="N10" s="59">
        <v>7</v>
      </c>
      <c r="O10" s="75" t="s">
        <v>43</v>
      </c>
      <c r="P10" s="59" t="s">
        <v>41</v>
      </c>
      <c r="Q10" s="83">
        <v>41883</v>
      </c>
      <c r="R10" s="61">
        <v>1349</v>
      </c>
      <c r="S10" s="61">
        <v>800</v>
      </c>
      <c r="T10" s="69" t="str">
        <f>HYPERLINK("http://amzn.to/2v2sY7q","link*")</f>
        <v>link*</v>
      </c>
      <c r="U10" s="69" t="str">
        <f>HYPERLINK("https://www.bhphotovideo.com/c/product/1380866-REG/sony_16_35mm_f_4_vario_tsr.html/BI/19619/KBID/12129/kw/SO16354F/DFF/d10-v2-t1-xSO16354F","link*")</f>
        <v>link*</v>
      </c>
      <c r="V10" s="69" t="str">
        <f>HYPERLINK("http://amzn.to/2wyMLuP","link*")</f>
        <v>link*</v>
      </c>
      <c r="W10" s="69" t="e">
        <f>HYPERLINK("http://rover.ebay.com/rover/1/711-53200-19255-0/1?icep_ff3=10&amp;pub=5575076376&amp;toolid=10001&amp;campid=5338164340&amp;customid=&amp;icep_uq=sony+16-35+za+oss&amp;icep_sellerId=&amp;icep_ex_kw=&amp;icep_sortBy=12&amp;icep_catId=&amp;icep_minPrice=&amp;icep_maxPrice=&amp;ipn=psmain&amp;icep_vectorid=22"&amp;"9466&amp;kwid=902099&amp;mtid=824&amp;kw=lg","link*")</f>
        <v>#VALUE!</v>
      </c>
    </row>
    <row r="11" spans="1:25" ht="13">
      <c r="A11" s="117" t="b">
        <v>0</v>
      </c>
      <c r="B11" s="615" t="b">
        <v>0</v>
      </c>
      <c r="C11" s="120" t="s">
        <v>67</v>
      </c>
      <c r="D11" s="21">
        <v>680</v>
      </c>
      <c r="E11" s="23">
        <v>16</v>
      </c>
      <c r="F11" s="25">
        <v>2.8</v>
      </c>
      <c r="G11" s="122">
        <v>89</v>
      </c>
      <c r="H11" s="123">
        <v>122</v>
      </c>
      <c r="I11" s="39" t="s">
        <v>36</v>
      </c>
      <c r="J11" s="33" t="s">
        <v>68</v>
      </c>
      <c r="K11" s="35">
        <v>0.19</v>
      </c>
      <c r="L11" s="37">
        <v>28</v>
      </c>
      <c r="M11" s="39" t="s">
        <v>27</v>
      </c>
      <c r="N11" s="35">
        <v>11</v>
      </c>
      <c r="O11" s="162" t="s">
        <v>72</v>
      </c>
      <c r="P11" s="35" t="s">
        <v>41</v>
      </c>
      <c r="Q11" s="42">
        <v>42856</v>
      </c>
      <c r="R11" s="44">
        <v>2199</v>
      </c>
      <c r="S11" s="44">
        <v>1800</v>
      </c>
      <c r="T11" s="47" t="str">
        <f>HYPERLINK("https://amzn.to/2SR0IRl","link*")</f>
        <v>link*</v>
      </c>
      <c r="U11" s="47" t="str">
        <f>HYPERLINK("https://www.bhphotovideo.com/c/product/1338516-REG/sony_sel1635gm_fe_16_35mm_f_2_8_gm.html/BI/19619/KBID/12129/DFF/d10-v21-t1-x822837/SID/EZ","link*")</f>
        <v>link*</v>
      </c>
      <c r="V11" s="47" t="str">
        <f>HYPERLINK("https://amzn.to/2T1ZxOU","link*")</f>
        <v>link*</v>
      </c>
      <c r="W11" s="47" t="e">
        <f>HYPERLINK("http://rover.ebay.com/rover/1/711-53200-19255-0/1?icep_ff3=9&amp;pub=5575076376&amp;toolid=10001&amp;campid=5338573609&amp;customid=&amp;icep_uq=sony+gm+16-35&amp;icep_sellerId=&amp;icep_ex_kw=&amp;icep_sortBy=12&amp;icep_catId=3323&amp;icep_minPrice=&amp;icep_maxPrice=&amp;ipn=psmain&amp;icep_vectorid=229"&amp;"466&amp;kwid=902099&amp;mtid=824&amp;kw=lg","link*")</f>
        <v>#VALUE!</v>
      </c>
      <c r="X11" s="130"/>
    </row>
    <row r="12" spans="1:25" ht="13">
      <c r="A12" s="117" t="b">
        <v>0</v>
      </c>
      <c r="B12" s="615" t="b">
        <v>0</v>
      </c>
      <c r="C12" s="132" t="str">
        <f>HYPERLINK("https://phillipreeve.net/blog/review-tamron-17-28mm-f-2-8-di-iii-rxd/","Tamron 17-28mm f/2.8 Di III RXD")</f>
        <v>Tamron 17-28mm f/2.8 Di III RXD</v>
      </c>
      <c r="D12" s="133">
        <v>420</v>
      </c>
      <c r="E12" s="135">
        <v>17</v>
      </c>
      <c r="F12" s="137">
        <v>2.8</v>
      </c>
      <c r="G12" s="164">
        <v>73</v>
      </c>
      <c r="H12" s="166">
        <v>99</v>
      </c>
      <c r="I12" s="143" t="s">
        <v>36</v>
      </c>
      <c r="J12" s="145" t="s">
        <v>73</v>
      </c>
      <c r="K12" s="146">
        <v>0.19</v>
      </c>
      <c r="L12" s="147">
        <v>19</v>
      </c>
      <c r="M12" s="143" t="s">
        <v>27</v>
      </c>
      <c r="N12" s="146">
        <v>9</v>
      </c>
      <c r="O12" s="149" t="s">
        <v>77</v>
      </c>
      <c r="P12" s="146" t="s">
        <v>78</v>
      </c>
      <c r="Q12" s="150">
        <v>43647</v>
      </c>
      <c r="R12" s="168">
        <v>899</v>
      </c>
      <c r="S12" s="151" t="s">
        <v>44</v>
      </c>
      <c r="T12" s="154" t="str">
        <f>HYPERLINK("https://amzn.to/2Hv3AyB","link*")</f>
        <v>link*</v>
      </c>
      <c r="U12" s="154" t="str">
        <f>HYPERLINK("https://www.bhphotovideo.com/c/product/1461529-REG/tamron_a046_17_28mm_f_2_8_di_iii.html/BI/19619/KBID/12129/DFF/d10-v21-t1-x946694/SID/EZ","link*")</f>
        <v>link*</v>
      </c>
      <c r="V12" s="154" t="str">
        <f>HYPERLINK("https://amzn.to/2YkrkQB","link*")</f>
        <v>link*</v>
      </c>
      <c r="W12" s="154" t="e">
        <f>HYPERLINK("http://rover.ebay.com/rover/1/711-53200-19255-0/1?icep_ff3=9&amp;pub=5575076376&amp;toolid=10001&amp;campid=5338573609&amp;customid=&amp;icep_uq=tamron+17-28+sony&amp;icep_sellerId=&amp;icep_ex_kw=&amp;icep_sortBy=12&amp;icep_catId=3323&amp;icep_minPrice=&amp;icep_maxPrice=&amp;ipn=psmain&amp;icep_vectorid"&amp;"=229466&amp;kwid=902099&amp;mtid=824&amp;kw=lg","link*")</f>
        <v>#VALUE!</v>
      </c>
      <c r="X12" s="130"/>
      <c r="Y12" s="160"/>
    </row>
    <row r="13" spans="1:25" ht="13">
      <c r="A13" s="207" t="b">
        <v>0</v>
      </c>
      <c r="B13" s="616" t="b">
        <v>0</v>
      </c>
      <c r="C13" s="157" t="str">
        <f>HYPERLINK("https://phillipreeve.net/blog/review-zeiss-batis-18mm-2-8/","Zeiss Batis 2.8/18")</f>
        <v>Zeiss Batis 2.8/18</v>
      </c>
      <c r="D13" s="50">
        <v>330</v>
      </c>
      <c r="E13" s="68">
        <v>18</v>
      </c>
      <c r="F13" s="52">
        <v>2.8</v>
      </c>
      <c r="G13" s="78">
        <v>100</v>
      </c>
      <c r="H13" s="51">
        <v>80</v>
      </c>
      <c r="I13" s="73" t="s">
        <v>36</v>
      </c>
      <c r="J13" s="57" t="s">
        <v>80</v>
      </c>
      <c r="K13" s="59">
        <v>0.1</v>
      </c>
      <c r="L13" s="71">
        <v>25</v>
      </c>
      <c r="M13" s="73" t="s">
        <v>27</v>
      </c>
      <c r="N13" s="59">
        <v>9</v>
      </c>
      <c r="O13" s="75" t="s">
        <v>86</v>
      </c>
      <c r="P13" s="59" t="s">
        <v>87</v>
      </c>
      <c r="Q13" s="83">
        <v>42491</v>
      </c>
      <c r="R13" s="61">
        <v>1499</v>
      </c>
      <c r="S13" s="61">
        <v>1000</v>
      </c>
      <c r="T13" s="69" t="str">
        <f>HYPERLINK("https://amzn.to/2SRFBhL","link*")</f>
        <v>link*</v>
      </c>
      <c r="U13" s="69" t="str">
        <f>HYPERLINK("https://www.bhphotovideo.com/c/product/1243591-REG/zeiss_2136_691_batis_18mm_f_2_8_lens.html/BI/19619/KBID/12129/DFF/d10-v21-t1-x727488/SID/EZ","link*")</f>
        <v>link*</v>
      </c>
      <c r="V13" s="69" t="str">
        <f>HYPERLINK("https://amzn.to/334PqNT","link*")</f>
        <v>link*</v>
      </c>
      <c r="W13" s="69" t="e">
        <f>HYPERLINK("http://rover.ebay.com/rover/1/711-53200-19255-0/1?icep_ff3=9&amp;pub=5575076376&amp;toolid=10001&amp;campid=5338573609&amp;customid=&amp;icep_uq=batis+18+2.8&amp;icep_sellerId=&amp;icep_ex_kw=&amp;icep_sortBy=12&amp;icep_catId=3323&amp;icep_minPrice=&amp;icep_maxPrice=&amp;ipn=psmain&amp;icep_vectorid=2294"&amp;"66&amp;kwid=902099&amp;mtid=824&amp;kw=lg","link*")</f>
        <v>#VALUE!</v>
      </c>
    </row>
    <row r="14" spans="1:25" ht="13">
      <c r="A14" s="117" t="b">
        <v>0</v>
      </c>
      <c r="B14" s="615" t="b">
        <v>0</v>
      </c>
      <c r="C14" s="172" t="s">
        <v>88</v>
      </c>
      <c r="D14" s="21">
        <v>145</v>
      </c>
      <c r="E14" s="23">
        <v>18</v>
      </c>
      <c r="F14" s="25">
        <v>2.8</v>
      </c>
      <c r="G14" s="122">
        <v>63.5</v>
      </c>
      <c r="H14" s="123">
        <v>60.5</v>
      </c>
      <c r="I14" s="39" t="s">
        <v>36</v>
      </c>
      <c r="J14" s="33" t="s">
        <v>71</v>
      </c>
      <c r="K14" s="35">
        <v>0.09</v>
      </c>
      <c r="L14" s="37">
        <v>25</v>
      </c>
      <c r="M14" s="39" t="s">
        <v>27</v>
      </c>
      <c r="N14" s="35">
        <v>7</v>
      </c>
      <c r="O14" s="162" t="s">
        <v>91</v>
      </c>
      <c r="P14" s="35" t="s">
        <v>38</v>
      </c>
      <c r="Q14" s="42">
        <v>43723</v>
      </c>
      <c r="R14" s="44">
        <v>399</v>
      </c>
      <c r="S14" s="44" t="s">
        <v>44</v>
      </c>
      <c r="T14" s="174"/>
      <c r="U14" s="47" t="str">
        <f>HYPERLINK("https://www.bhphotovideo.com/c/product/1503295-REG/samyang_syio18af_e_af_18mm_f_2_8_fe.html/BI/19619/KBID/12129/DFF/d10-v21-t1-x985623/SID/EZ","link*")</f>
        <v>link*</v>
      </c>
      <c r="V14" s="174"/>
      <c r="W14" s="174"/>
      <c r="X14" s="130"/>
    </row>
    <row r="15" spans="1:25" ht="15.75" customHeight="1">
      <c r="A15" s="117" t="b">
        <v>0</v>
      </c>
      <c r="B15" s="615" t="b">
        <v>0</v>
      </c>
      <c r="C15" s="66" t="s">
        <v>92</v>
      </c>
      <c r="D15" s="50">
        <v>1050</v>
      </c>
      <c r="E15" s="68">
        <v>20</v>
      </c>
      <c r="F15" s="177">
        <v>1.4</v>
      </c>
      <c r="G15" s="78">
        <v>91</v>
      </c>
      <c r="H15" s="51">
        <v>155.80000000000001</v>
      </c>
      <c r="I15" s="59" t="s">
        <v>36</v>
      </c>
      <c r="J15" s="57" t="s">
        <v>26</v>
      </c>
      <c r="K15" s="59">
        <v>0.14000000000000001</v>
      </c>
      <c r="L15" s="71">
        <v>28</v>
      </c>
      <c r="M15" s="73" t="s">
        <v>27</v>
      </c>
      <c r="N15" s="59">
        <v>9</v>
      </c>
      <c r="O15" s="110">
        <v>43784</v>
      </c>
      <c r="P15" s="59" t="s">
        <v>47</v>
      </c>
      <c r="Q15" s="83">
        <v>43221</v>
      </c>
      <c r="R15" s="61">
        <v>899</v>
      </c>
      <c r="S15" s="61">
        <v>700</v>
      </c>
      <c r="T15" s="69" t="str">
        <f>HYPERLINK("https://amzn.to/2K4J7nh","link*")</f>
        <v>link*</v>
      </c>
      <c r="U15" s="69" t="str">
        <f>HYPERLINK("https://www.bhphotovideo.com/c/product/1393490-REG/sigma_20mm_f_1_4_dg_hsm.html/BI/19619/KBID/12129/DFF/d10-v21-t1-x881155/SID/EZ","link*")</f>
        <v>link*</v>
      </c>
      <c r="V15" s="69" t="str">
        <f>HYPERLINK("https://amzn.to/2Wy0d3F","link*")</f>
        <v>link*</v>
      </c>
      <c r="W15" s="69" t="e">
        <f>HYPERLINK("http://rover.ebay.com/rover/1/711-53200-19255-0/1?icep_ff3=9&amp;pub=5575076376&amp;toolid=10001&amp;campid=5338573609&amp;customid=&amp;icep_uq=sigma+art+20+1.4+sony&amp;icep_sellerId=&amp;icep_ex_kw=&amp;icep_sortBy=12&amp;icep_catId=3323&amp;icep_minPrice=&amp;icep_maxPrice=&amp;ipn=psmain&amp;icep_vect"&amp;"orid=229466&amp;kwid=902099&amp;mtid=824&amp;kw=lg","link*")</f>
        <v>#VALUE!</v>
      </c>
      <c r="X15" s="77" t="s">
        <v>48</v>
      </c>
    </row>
    <row r="16" spans="1:25" ht="13">
      <c r="A16" s="117" t="b">
        <v>0</v>
      </c>
      <c r="B16" s="615" t="b">
        <v>0</v>
      </c>
      <c r="C16" s="58" t="s">
        <v>104</v>
      </c>
      <c r="D16" s="60">
        <v>775</v>
      </c>
      <c r="E16" s="62">
        <v>20</v>
      </c>
      <c r="F16" s="100">
        <v>1.8</v>
      </c>
      <c r="G16" s="65">
        <v>77</v>
      </c>
      <c r="H16" s="67">
        <v>102</v>
      </c>
      <c r="I16" s="74" t="s">
        <v>25</v>
      </c>
      <c r="J16" s="72" t="s">
        <v>68</v>
      </c>
      <c r="K16" s="74">
        <v>0.12</v>
      </c>
      <c r="L16" s="84">
        <v>25</v>
      </c>
      <c r="M16" s="70" t="s">
        <v>27</v>
      </c>
      <c r="N16" s="74">
        <v>14</v>
      </c>
      <c r="O16" s="112">
        <v>43720</v>
      </c>
      <c r="P16" s="74" t="s">
        <v>106</v>
      </c>
      <c r="Q16" s="88">
        <v>43586</v>
      </c>
      <c r="R16" s="76">
        <v>486</v>
      </c>
      <c r="S16" s="76" t="s">
        <v>44</v>
      </c>
      <c r="T16" s="79" t="str">
        <f>HYPERLINK("https://amzn.to/2LRRbJ5","link*")</f>
        <v>link*</v>
      </c>
      <c r="U16" s="79" t="str">
        <f>HYPERLINK("https://www.bhphotovideo.com/c/product/1469187-REG/viltrox_pfu_rbmh_20mm_f1_8_asph_e_mount_20mm_f_1_8_for_sony.html/BI/19619/KBID/12129/DFF/d10-v21-t1-x954299/SID/EZ","link*")</f>
        <v>link*</v>
      </c>
      <c r="V16" s="79" t="str">
        <f>HYPERLINK("https://amzn.to/2GL8iYV","link*")</f>
        <v>link*</v>
      </c>
      <c r="W16" s="79" t="e">
        <f>HYPERLINK("http://rover.ebay.com/rover/1/711-53200-19255-0/1?icep_ff3=9&amp;pub=5575076376&amp;toolid=10001&amp;campid=5338573609&amp;customid=&amp;icep_uq=viltrox+20+1.8+sony&amp;icep_sellerId=&amp;icep_ex_kw=&amp;icep_sortBy=12&amp;icep_catId=3323&amp;icep_minPrice=&amp;icep_maxPrice=&amp;ipn=psmain&amp;icep_vector"&amp;"id=229466&amp;kwid=902099&amp;mtid=824&amp;kw=lg","link*")</f>
        <v>#VALUE!</v>
      </c>
    </row>
    <row r="17" spans="1:24" ht="15.75" customHeight="1">
      <c r="A17" s="207" t="b">
        <v>0</v>
      </c>
      <c r="B17" s="616" t="b">
        <v>0</v>
      </c>
      <c r="C17" s="126" t="str">
        <f>HYPERLINK("https://phillipreeve.net/blog/tokina-firin-20mm-f2-fe-review-a-good-deal/","Tokina Firin 2/20")</f>
        <v>Tokina Firin 2/20</v>
      </c>
      <c r="D17" s="60">
        <v>492</v>
      </c>
      <c r="E17" s="62">
        <v>20</v>
      </c>
      <c r="F17" s="173">
        <v>2</v>
      </c>
      <c r="G17" s="187">
        <v>69</v>
      </c>
      <c r="H17" s="188">
        <v>82</v>
      </c>
      <c r="I17" s="70" t="s">
        <v>25</v>
      </c>
      <c r="J17" s="72" t="s">
        <v>101</v>
      </c>
      <c r="K17" s="74">
        <v>0.1</v>
      </c>
      <c r="L17" s="84">
        <v>30</v>
      </c>
      <c r="M17" s="70" t="s">
        <v>27</v>
      </c>
      <c r="N17" s="74">
        <v>9</v>
      </c>
      <c r="O17" s="136" t="s">
        <v>77</v>
      </c>
      <c r="P17" s="74" t="s">
        <v>103</v>
      </c>
      <c r="Q17" s="88">
        <v>42856</v>
      </c>
      <c r="R17" s="184">
        <v>799</v>
      </c>
      <c r="S17" s="184">
        <v>400</v>
      </c>
      <c r="T17" s="79" t="str">
        <f>HYPERLINK("http://amzn.to/2vlG2Yq","link*")</f>
        <v>link*</v>
      </c>
      <c r="U17" s="79" t="str">
        <f>HYPERLINK("https://www.bhphotovideo.com/c/product/1281299-REG/tokina_firin_20mm_f_2_fe.html/BI/19619/KBID/12129/kw/TO202E/DFF/d10-v2-t1-xTO202E","link*")</f>
        <v>link*</v>
      </c>
      <c r="V17" s="79" t="str">
        <f>HYPERLINK("http://amzn.to/2vvtDkM","link*")</f>
        <v>link*</v>
      </c>
      <c r="W17" s="79" t="e">
        <f>HYPERLINK("http://rover.ebay.com/rover/1/711-53200-19255-0/1?icep_ff3=10&amp;pub=5575076376&amp;toolid=10001&amp;campid=5338164340&amp;customid=&amp;icep_uq=tokina+firin+20&amp;icep_sellerId=&amp;icep_ex_kw=&amp;icep_sortBy=12&amp;icep_catId=&amp;icep_minPrice=&amp;icep_maxPrice=&amp;ipn=psmain&amp;icep_vectorid=2294"&amp;"66&amp;kwid=902099&amp;mtid=824&amp;kw=lg","link*")</f>
        <v>#VALUE!</v>
      </c>
    </row>
    <row r="18" spans="1:24" ht="13">
      <c r="A18" s="207" t="b">
        <v>0</v>
      </c>
      <c r="B18" s="616" t="b">
        <v>0</v>
      </c>
      <c r="C18" s="120" t="s">
        <v>97</v>
      </c>
      <c r="D18" s="21">
        <v>464</v>
      </c>
      <c r="E18" s="23">
        <v>20</v>
      </c>
      <c r="F18" s="190">
        <v>2</v>
      </c>
      <c r="G18" s="191">
        <v>73</v>
      </c>
      <c r="H18" s="193">
        <v>82</v>
      </c>
      <c r="I18" s="39" t="s">
        <v>36</v>
      </c>
      <c r="J18" s="33" t="s">
        <v>101</v>
      </c>
      <c r="K18" s="35">
        <v>0.1</v>
      </c>
      <c r="L18" s="37">
        <v>30</v>
      </c>
      <c r="M18" s="39" t="s">
        <v>27</v>
      </c>
      <c r="N18" s="35">
        <v>9</v>
      </c>
      <c r="O18" s="162" t="s">
        <v>77</v>
      </c>
      <c r="P18" s="35" t="s">
        <v>103</v>
      </c>
      <c r="Q18" s="42">
        <v>43221</v>
      </c>
      <c r="R18" s="44">
        <v>949</v>
      </c>
      <c r="S18" s="44">
        <v>600</v>
      </c>
      <c r="T18" s="47" t="str">
        <f>HYPERLINK("https://amzn.to/2GDurZb","link*")</f>
        <v>link*</v>
      </c>
      <c r="U18" s="47" t="str">
        <f>HYPERLINK("https://www.bhphotovideo.com/c/product/1393327-REG/tokina_firin_20mm_f_2_fe.html/BI/19619/KBID/12129/DFF/d10-v21-t1-x880327/SID/EZ","link*")</f>
        <v>link*</v>
      </c>
      <c r="V18" s="47" t="str">
        <f>HYPERLINK("https://amzn.to/2GJYCxw","link*")</f>
        <v>link*</v>
      </c>
      <c r="W18" s="47" t="e">
        <f>HYPERLINK("http://rover.ebay.com/rover/1/711-53200-19255-0/1?icep_ff3=9&amp;pub=5575076376&amp;toolid=10001&amp;campid=5338573609&amp;customid=&amp;icep_uq=tokina+firin+20mm+af&amp;icep_sellerId=&amp;icep_ex_kw=&amp;icep_sortBy=12&amp;icep_catId=3323&amp;icep_minPrice=&amp;icep_maxPrice=&amp;ipn=psmain&amp;icep_vecto"&amp;"rid=229466&amp;kwid=902099&amp;mtid=824&amp;kw=lg","link*")</f>
        <v>#VALUE!</v>
      </c>
      <c r="X18" s="130"/>
    </row>
    <row r="19" spans="1:24" ht="13">
      <c r="A19" s="117" t="b">
        <v>0</v>
      </c>
      <c r="B19" s="615" t="b">
        <v>0</v>
      </c>
      <c r="C19" s="157" t="str">
        <f>HYPERLINK("https://phillipreeve.net/blog/review_voigtlander_21mm_f14_e/","Voigtlander 21mm F1.4 Nokton")</f>
        <v>Voigtlander 21mm F1.4 Nokton</v>
      </c>
      <c r="D19" s="50">
        <v>540</v>
      </c>
      <c r="E19" s="68">
        <v>21</v>
      </c>
      <c r="F19" s="206">
        <v>1.4</v>
      </c>
      <c r="G19" s="194">
        <v>70</v>
      </c>
      <c r="H19" s="195">
        <v>80</v>
      </c>
      <c r="I19" s="73" t="s">
        <v>25</v>
      </c>
      <c r="J19" s="57" t="s">
        <v>101</v>
      </c>
      <c r="K19" s="59"/>
      <c r="L19" s="71">
        <v>25</v>
      </c>
      <c r="M19" s="73" t="s">
        <v>27</v>
      </c>
      <c r="N19" s="59">
        <v>12</v>
      </c>
      <c r="O19" s="75" t="s">
        <v>77</v>
      </c>
      <c r="P19" s="59" t="s">
        <v>29</v>
      </c>
      <c r="Q19" s="83">
        <v>43617</v>
      </c>
      <c r="R19" s="61">
        <v>1199</v>
      </c>
      <c r="S19" s="61" t="s">
        <v>44</v>
      </c>
      <c r="T19" s="69" t="str">
        <f>HYPERLINK("https://amzn.to/2K7gHrC","link*")</f>
        <v>link*</v>
      </c>
      <c r="U19" s="69" t="str">
        <f>HYPERLINK("https://www.bhphotovideo.com/c/product/1480269-REG/voigtlander_ba352a_nokton_21mm_f_1_4_aspherical.html/BI/19619/KBID/12129/DFF/d10-v21-t1-x963269/SID/EZ","link*")</f>
        <v>link*</v>
      </c>
      <c r="V19" s="189"/>
      <c r="W19" s="69" t="e">
        <f>HYPERLINK("http://rover.ebay.com/rover/1/711-53200-19255-0/1?icep_ff3=9&amp;pub=5575076376&amp;toolid=10001&amp;campid=5338573609&amp;customid=&amp;icep_uq=Voigtlander+Sony+21mm+1.4&amp;icep_sellerId=&amp;icep_ex_kw=&amp;icep_sortBy=12&amp;icep_catId=3323&amp;icep_minPrice=&amp;icep_maxPrice=&amp;ipn=psmain&amp;icep_"&amp;"vectorid=229466&amp;kwid=902099&amp;mtid=824&amp;kw=lg","link*")</f>
        <v>#VALUE!</v>
      </c>
    </row>
    <row r="20" spans="1:24" ht="13">
      <c r="A20" s="207" t="b">
        <v>0</v>
      </c>
      <c r="B20" s="616" t="b">
        <v>0</v>
      </c>
      <c r="C20" s="126" t="str">
        <f>HYPERLINK("https://phillipreeve.net/blog/rolling-review-zeiss-loxia-distagon-2-821mm-t/https://phillipreeve.net/blog/rolling-review-zeiss-loxia-distagon-2-821mm-t/","Zeiss Loxia 2.8/21 Distagon T*")</f>
        <v>Zeiss Loxia 2.8/21 Distagon T*</v>
      </c>
      <c r="D20" s="60">
        <v>394</v>
      </c>
      <c r="E20" s="62">
        <v>21</v>
      </c>
      <c r="F20" s="64">
        <v>2.8</v>
      </c>
      <c r="G20" s="194">
        <v>62</v>
      </c>
      <c r="H20" s="195">
        <v>72</v>
      </c>
      <c r="I20" s="70" t="s">
        <v>25</v>
      </c>
      <c r="J20" s="72" t="s">
        <v>131</v>
      </c>
      <c r="K20" s="74">
        <v>0.13</v>
      </c>
      <c r="L20" s="84">
        <v>25</v>
      </c>
      <c r="M20" s="70" t="s">
        <v>27</v>
      </c>
      <c r="N20" s="74">
        <v>10</v>
      </c>
      <c r="O20" s="136" t="s">
        <v>132</v>
      </c>
      <c r="P20" s="74" t="s">
        <v>87</v>
      </c>
      <c r="Q20" s="88">
        <v>42339</v>
      </c>
      <c r="R20" s="76">
        <v>1499</v>
      </c>
      <c r="S20" s="76">
        <v>830</v>
      </c>
      <c r="T20" s="79" t="str">
        <f>HYPERLINK("https://amzn.to/2yspzBm","link*")</f>
        <v>link*</v>
      </c>
      <c r="U20" s="79" t="str">
        <f>HYPERLINK("https://www.bhphotovideo.com/c/product/1189220-REG/zeiss_2131_999_loxia_21mm_f_2_8_lens.html/BI/19619/KBID/12129/DFF/d10-v21-t1-x677077/SID/EZ","link*")</f>
        <v>link*</v>
      </c>
      <c r="V20" s="79" t="str">
        <f>HYPERLINK("https://amzn.to/2GHSOoA","link*")</f>
        <v>link*</v>
      </c>
      <c r="W20" s="79" t="e">
        <f>HYPERLINK("http://rover.ebay.com/rover/1/711-53200-19255-0/1?icep_ff3=9&amp;pub=5575076376&amp;toolid=10001&amp;campid=5338573609&amp;customid=&amp;icep_uq=Loxia+21mm&amp;icep_sellerId=&amp;icep_ex_kw=&amp;icep_sortBy=12&amp;icep_catId=3323&amp;icep_minPrice=&amp;icep_maxPrice=&amp;ipn=psmain&amp;icep_vectorid=229466"&amp;"&amp;kwid=902099&amp;mtid=824&amp;kw=lg","link*")</f>
        <v>#VALUE!</v>
      </c>
    </row>
    <row r="21" spans="1:24" ht="13">
      <c r="A21" s="117" t="b">
        <v>0</v>
      </c>
      <c r="B21" s="615" t="b">
        <v>0</v>
      </c>
      <c r="C21" s="19" t="str">
        <f>HYPERLINK("https://phillipreeve.net/blog/voigtlander-21mm-f35-review/","Voigtlander 21mm F3.5 Color-Skopar")</f>
        <v>Voigtlander 21mm F3.5 Color-Skopar</v>
      </c>
      <c r="D21" s="21">
        <v>230</v>
      </c>
      <c r="E21" s="23">
        <v>21</v>
      </c>
      <c r="F21" s="25">
        <v>3.5</v>
      </c>
      <c r="G21" s="221">
        <v>63</v>
      </c>
      <c r="H21" s="193">
        <v>40</v>
      </c>
      <c r="I21" s="39" t="s">
        <v>25</v>
      </c>
      <c r="J21" s="33" t="s">
        <v>131</v>
      </c>
      <c r="K21" s="222"/>
      <c r="L21" s="37">
        <v>20</v>
      </c>
      <c r="M21" s="39" t="s">
        <v>27</v>
      </c>
      <c r="N21" s="35">
        <v>10</v>
      </c>
      <c r="O21" s="162" t="s">
        <v>91</v>
      </c>
      <c r="P21" s="35" t="s">
        <v>29</v>
      </c>
      <c r="Q21" s="42">
        <v>43374</v>
      </c>
      <c r="R21" s="44">
        <v>699</v>
      </c>
      <c r="S21" s="44">
        <v>525</v>
      </c>
      <c r="T21" s="47" t="str">
        <f>HYPERLINK("https://amzn.to/2JCie75","link*")</f>
        <v>link*</v>
      </c>
      <c r="U21" s="47" t="str">
        <f>HYPERLINK("https://www.bhphotovideo.com/c/product/1437613-REG/voigtlander_color_skopar_21mm_f_3_5_aspherical.html/BI/19619/KBID/12129/kw/VO2135E/DFF/d10-v2-t1-xVO2135E","link*")</f>
        <v>link*</v>
      </c>
      <c r="V21" s="47" t="str">
        <f>HYPERLINK("https://amzn.to/2ZoERan","link*")</f>
        <v>link*</v>
      </c>
      <c r="W21" s="47" t="e">
        <f>HYPERLINK("http://rover.ebay.com/rover/1/707-53477-19255-0/1?icep_ff3=9&amp;pub=5575076376&amp;toolid=10001&amp;campid=5338423810&amp;customid=&amp;icep_uq=voigtlander+21mm+3.5&amp;icep_sellerId=&amp;icep_ex_kw=&amp;icep_sortBy=12&amp;icep_catId=3323&amp;icep_minPrice=&amp;icep_maxPrice=&amp;ipn=psmain&amp;icep_vecto"&amp;"rid=229487&amp;kwid=902099&amp;mtid=824&amp;kw=lg","link*")</f>
        <v>#VALUE!</v>
      </c>
      <c r="X21" s="130"/>
    </row>
    <row r="22" spans="1:24" ht="13">
      <c r="A22" s="117" t="b">
        <v>0</v>
      </c>
      <c r="B22" s="615" t="b">
        <v>0</v>
      </c>
      <c r="C22" s="157" t="str">
        <f>HYPERLINK("https://phillipreeve.net/blog/review-sony-fe-24mm-1-4-gm/","Sony GM 1.4/24")</f>
        <v>Sony GM 1.4/24</v>
      </c>
      <c r="D22" s="50">
        <v>445</v>
      </c>
      <c r="E22" s="68">
        <v>24</v>
      </c>
      <c r="F22" s="206">
        <v>1.4</v>
      </c>
      <c r="G22" s="194">
        <v>75</v>
      </c>
      <c r="H22" s="195">
        <v>92</v>
      </c>
      <c r="I22" s="73" t="s">
        <v>36</v>
      </c>
      <c r="J22" s="57" t="s">
        <v>73</v>
      </c>
      <c r="K22" s="59">
        <v>0.17</v>
      </c>
      <c r="L22" s="71">
        <v>25</v>
      </c>
      <c r="M22" s="73" t="s">
        <v>27</v>
      </c>
      <c r="N22" s="59">
        <v>11</v>
      </c>
      <c r="O22" s="75" t="s">
        <v>28</v>
      </c>
      <c r="P22" s="59" t="s">
        <v>41</v>
      </c>
      <c r="Q22" s="83">
        <v>43374</v>
      </c>
      <c r="R22" s="61">
        <v>1399</v>
      </c>
      <c r="S22" s="61">
        <v>1500</v>
      </c>
      <c r="T22" s="69" t="str">
        <f>HYPERLINK("https://amzn.to/2ywcbw1","link*")</f>
        <v>link*</v>
      </c>
      <c r="U22" s="69" t="str">
        <f>HYPERLINK("https://www.bhphotovideo.com/c/product/1435887-REG/sony_fe_24mm_f_1_4_gm.html/BI/19619/KBID/12129/DFF/d10-v21-t1-x915647/SID/EZ","link*")</f>
        <v>link*</v>
      </c>
      <c r="V22" s="69" t="str">
        <f>HYPERLINK("https://amzn.to/2L2tV9y","link*")</f>
        <v>link*</v>
      </c>
      <c r="W22" s="69" t="e">
        <f>HYPERLINK("http://rover.ebay.com/rover/1/711-53200-19255-0/1?icep_ff3=9&amp;pub=5575076376&amp;toolid=10001&amp;campid=5338573609&amp;customid=&amp;icep_uq=sony+gm+24mm&amp;icep_sellerId=&amp;icep_ex_kw=&amp;icep_sortBy=12&amp;icep_catId=3323&amp;icep_minPrice=&amp;icep_maxPrice=&amp;ipn=psmain&amp;icep_vectorid=2294"&amp;"66&amp;kwid=902099&amp;mtid=824&amp;kw=lg","link*")</f>
        <v>#VALUE!</v>
      </c>
    </row>
    <row r="23" spans="1:24" ht="13">
      <c r="A23" s="117" t="b">
        <v>0</v>
      </c>
      <c r="B23" s="615" t="b">
        <v>0</v>
      </c>
      <c r="C23" s="58" t="s">
        <v>121</v>
      </c>
      <c r="D23" s="60">
        <v>760</v>
      </c>
      <c r="E23" s="62">
        <v>24</v>
      </c>
      <c r="F23" s="192">
        <v>1.4</v>
      </c>
      <c r="G23" s="194">
        <v>85</v>
      </c>
      <c r="H23" s="232">
        <v>116</v>
      </c>
      <c r="I23" s="74" t="s">
        <v>36</v>
      </c>
      <c r="J23" s="72" t="s">
        <v>80</v>
      </c>
      <c r="K23" s="74">
        <v>0.19</v>
      </c>
      <c r="L23" s="84">
        <v>25</v>
      </c>
      <c r="M23" s="70" t="s">
        <v>27</v>
      </c>
      <c r="N23" s="74">
        <v>9</v>
      </c>
      <c r="O23" s="112">
        <v>43784</v>
      </c>
      <c r="P23" s="74" t="s">
        <v>47</v>
      </c>
      <c r="Q23" s="88">
        <v>43221</v>
      </c>
      <c r="R23" s="76">
        <v>849</v>
      </c>
      <c r="S23" s="76">
        <v>620</v>
      </c>
      <c r="T23" s="79" t="str">
        <f>HYPERLINK("https://amzn.to/2Isw2Rv","link*")</f>
        <v>link*</v>
      </c>
      <c r="U23" s="79" t="str">
        <f>HYPERLINK("https://www.bhphotovideo.com/c/product/1393491-REG/sigma_24mm_f_1_4_dg_hsm.html/BI/19619/KBID/12129/kw/SI2414SO/DFF/d10-v2-t1-xSI2414SO","link*")</f>
        <v>link*</v>
      </c>
      <c r="V23" s="79" t="str">
        <f>HYPERLINK("https://amzn.to/2K7sIP4","link*")</f>
        <v>link*</v>
      </c>
      <c r="W23" s="79" t="e">
        <f>HYPERLINK("http://rover.ebay.com/rover/1/711-53200-19255-0/1?icep_ff3=9&amp;pub=5575076376&amp;toolid=10001&amp;campid=5338573609&amp;customid=&amp;icep_uq=sigma+art+24mm+e-mount&amp;icep_sellerId=&amp;icep_ex_kw=&amp;icep_sortBy=12&amp;icep_catId=3323&amp;icep_minPrice=&amp;icep_maxPrice=&amp;ipn=psmain&amp;icep_vec"&amp;"torid=229466&amp;kwid=902099&amp;mtid=824&amp;kw=lg","link*")</f>
        <v>#VALUE!</v>
      </c>
      <c r="X23" s="77" t="s">
        <v>48</v>
      </c>
    </row>
    <row r="24" spans="1:24" ht="13">
      <c r="A24" s="117" t="b">
        <v>0</v>
      </c>
      <c r="B24" s="615" t="b">
        <v>0</v>
      </c>
      <c r="C24" s="126" t="str">
        <f>HYPERLINK("https://phillipreeve.net/blog/review-samyang-af-2-4-28-fe-at-least-its-small/","Samyang AF 24mm F/2.8")</f>
        <v>Samyang AF 24mm F/2.8</v>
      </c>
      <c r="D24" s="60">
        <v>93</v>
      </c>
      <c r="E24" s="62">
        <v>24</v>
      </c>
      <c r="F24" s="64">
        <v>2.8</v>
      </c>
      <c r="G24" s="194">
        <v>61</v>
      </c>
      <c r="H24" s="176">
        <v>37</v>
      </c>
      <c r="I24" s="70" t="s">
        <v>36</v>
      </c>
      <c r="J24" s="72" t="s">
        <v>124</v>
      </c>
      <c r="K24" s="74">
        <v>0.15</v>
      </c>
      <c r="L24" s="84">
        <v>20</v>
      </c>
      <c r="M24" s="70" t="s">
        <v>27</v>
      </c>
      <c r="N24" s="74">
        <v>9</v>
      </c>
      <c r="O24" s="136" t="s">
        <v>127</v>
      </c>
      <c r="P24" s="74" t="s">
        <v>38</v>
      </c>
      <c r="Q24" s="88">
        <v>43282</v>
      </c>
      <c r="R24" s="184">
        <v>279</v>
      </c>
      <c r="S24" s="184">
        <v>210</v>
      </c>
      <c r="T24" s="79" t="str">
        <f>HYPERLINK("https://amzn.to/2NEHZ7c","link*")</f>
        <v>link*</v>
      </c>
      <c r="U24" s="79" t="str">
        <f>HYPERLINK("https://www.bhphotovideo.com/c/product/1413350-REG/samyang_syio24af_e_af_24mm_f_2_8_fe.html/BI/19619/KBID/12129/kw/SASYIO24AFE/DFF/d10-v2-t1-xSASYIO24AFE","link*")</f>
        <v>link*</v>
      </c>
      <c r="V24" s="79" t="str">
        <f>HYPERLINK("https://amzn.to/2Onv1QE","link*")</f>
        <v>link*</v>
      </c>
      <c r="W24" s="79" t="e">
        <f>HYPERLINK("http://rover.ebay.com/rover/1/711-53200-19255-0/1?icep_ff3=9&amp;pub=5575076376&amp;toolid=10001&amp;campid=5338573609&amp;customid=&amp;icep_uq=samyang+af+24mm+2.8+sony&amp;icep_sellerId=&amp;icep_ex_kw=&amp;icep_sortBy=12&amp;icep_catId=3323&amp;icep_minPrice=&amp;icep_maxPrice=&amp;ipn=psmain&amp;icep_v"&amp;"ectorid=229466&amp;kwid=902099&amp;mtid=824&amp;kw=lg","link*")</f>
        <v>#VALUE!</v>
      </c>
    </row>
    <row r="25" spans="1:24" ht="13">
      <c r="A25" s="207" t="b">
        <v>0</v>
      </c>
      <c r="B25" s="616" t="b">
        <v>0</v>
      </c>
      <c r="C25" s="196" t="str">
        <f>HYPERLINK("https://phillipreeve.net/blog/review-sony-fe-2-824-70mm-gm/","Sony GM 2.8/24-70")</f>
        <v>Sony GM 2.8/24-70</v>
      </c>
      <c r="D25" s="60">
        <v>886</v>
      </c>
      <c r="E25" s="62">
        <v>24</v>
      </c>
      <c r="F25" s="64">
        <v>2.8</v>
      </c>
      <c r="G25" s="194">
        <v>88</v>
      </c>
      <c r="H25" s="176">
        <v>136</v>
      </c>
      <c r="I25" s="70" t="s">
        <v>36</v>
      </c>
      <c r="J25" s="72" t="s">
        <v>68</v>
      </c>
      <c r="K25" s="201">
        <v>0.25</v>
      </c>
      <c r="L25" s="84">
        <v>38</v>
      </c>
      <c r="M25" s="70" t="s">
        <v>27</v>
      </c>
      <c r="N25" s="74">
        <v>11</v>
      </c>
      <c r="O25" s="136" t="s">
        <v>54</v>
      </c>
      <c r="P25" s="74" t="s">
        <v>41</v>
      </c>
      <c r="Q25" s="88">
        <v>42401</v>
      </c>
      <c r="R25" s="76">
        <v>2199</v>
      </c>
      <c r="S25" s="76">
        <v>1500</v>
      </c>
      <c r="T25" s="79" t="str">
        <f>HYPERLINK("https://amzn.to/2STHavK","link*")</f>
        <v>link*</v>
      </c>
      <c r="U25" s="79" t="str">
        <f>HYPERLINK("https://www.bhphotovideo.com/c/search?Ntt=gm%2024-70&amp;N=0&amp;InitialSearch=yes&amp;sts=ma&amp;Top+Nav-Search=&amp;BI=19619&amp;KBID=12129&amp;KWID=EZ","link*")</f>
        <v>link*</v>
      </c>
      <c r="V25" s="79" t="str">
        <f>HYPERLINK("https://amzn.to/2ZwoyU7","link*")</f>
        <v>link*</v>
      </c>
      <c r="W25" s="79" t="e">
        <f>HYPERLINK("http://rover.ebay.com/rover/1/711-53200-19255-0/1?icep_ff3=9&amp;pub=5575076376&amp;toolid=10001&amp;campid=5338573609&amp;customid=&amp;icep_uq=sony+gm+24-70+2.8&amp;icep_sellerId=&amp;icep_ex_kw=&amp;icep_sortBy=12&amp;icep_catId=3323&amp;icep_minPrice=&amp;icep_maxPrice=&amp;ipn=psmain&amp;icep_vectorid"&amp;"=229466&amp;kwid=902099&amp;mtid=824&amp;kw=lg","link*")</f>
        <v>#VALUE!</v>
      </c>
    </row>
    <row r="26" spans="1:24" ht="13">
      <c r="A26" s="117" t="b">
        <v>0</v>
      </c>
      <c r="B26" s="615" t="b">
        <v>0</v>
      </c>
      <c r="C26" s="58" t="s">
        <v>129</v>
      </c>
      <c r="D26" s="60">
        <v>780</v>
      </c>
      <c r="E26" s="62">
        <v>24</v>
      </c>
      <c r="F26" s="64" t="s">
        <v>130</v>
      </c>
      <c r="G26" s="194">
        <v>80</v>
      </c>
      <c r="H26" s="176">
        <v>119</v>
      </c>
      <c r="I26" s="70" t="s">
        <v>36</v>
      </c>
      <c r="J26" s="72" t="s">
        <v>64</v>
      </c>
      <c r="K26" s="201">
        <v>0.27</v>
      </c>
      <c r="L26" s="84">
        <v>50</v>
      </c>
      <c r="M26" s="134" t="s">
        <v>66</v>
      </c>
      <c r="N26" s="74">
        <v>7</v>
      </c>
      <c r="O26" s="136" t="s">
        <v>133</v>
      </c>
      <c r="P26" s="74" t="s">
        <v>41</v>
      </c>
      <c r="Q26" s="88">
        <v>42064</v>
      </c>
      <c r="R26" s="76">
        <v>998</v>
      </c>
      <c r="S26" s="76">
        <v>600</v>
      </c>
      <c r="T26" s="79" t="str">
        <f>HYPERLINK("http://amzn.to/2fbX5FU","link*")</f>
        <v>link*</v>
      </c>
      <c r="U26" s="79" t="str">
        <f>HYPERLINK("https://www.bhphotovideo.com/c/search?Ntt=sony%2024-240&amp;N=0&amp;InitialSearch=yes&amp;sts=ma&amp;Top+Nav-Search=&amp;BI=19619&amp;KBID=12129&amp;KWID=EZ","link*")</f>
        <v>link*</v>
      </c>
      <c r="V26" s="79" t="str">
        <f>HYPERLINK("http://amzn.to/2wyrL7A","link*")</f>
        <v>link*</v>
      </c>
      <c r="W26" s="79" t="e">
        <f>HYPERLINK("http://rover.ebay.com/rover/1/711-53200-19255-0/1?icep_ff3=10&amp;pub=5575076376&amp;toolid=10001&amp;campid=5338164340&amp;customid=&amp;icep_uq=sony+24-240&amp;icep_sellerId=&amp;icep_ex_kw=&amp;icep_sortBy=12&amp;icep_catId=&amp;icep_minPrice=&amp;icep_maxPrice=&amp;ipn=psmain&amp;icep_vectorid=229466&amp;k"&amp;"wid=902099&amp;mtid=824&amp;kw=lg","link*")</f>
        <v>#VALUE!</v>
      </c>
    </row>
    <row r="27" spans="1:24" ht="13">
      <c r="A27" s="117" t="b">
        <v>0</v>
      </c>
      <c r="B27" s="117" t="b">
        <v>0</v>
      </c>
      <c r="C27" s="58" t="s">
        <v>134</v>
      </c>
      <c r="D27" s="60">
        <v>663</v>
      </c>
      <c r="E27" s="62">
        <v>24</v>
      </c>
      <c r="F27" s="64">
        <v>4</v>
      </c>
      <c r="G27" s="194">
        <v>83</v>
      </c>
      <c r="H27" s="195">
        <v>113</v>
      </c>
      <c r="I27" s="70" t="s">
        <v>36</v>
      </c>
      <c r="J27" s="72" t="s">
        <v>80</v>
      </c>
      <c r="K27" s="201">
        <v>0.31</v>
      </c>
      <c r="L27" s="84">
        <v>38</v>
      </c>
      <c r="M27" s="134" t="s">
        <v>66</v>
      </c>
      <c r="N27" s="74">
        <v>9</v>
      </c>
      <c r="O27" s="136" t="s">
        <v>135</v>
      </c>
      <c r="P27" s="74" t="s">
        <v>41</v>
      </c>
      <c r="Q27" s="88">
        <v>43009</v>
      </c>
      <c r="R27" s="76">
        <v>1398</v>
      </c>
      <c r="S27" s="77">
        <v>1050</v>
      </c>
      <c r="T27" s="79" t="str">
        <f>HYPERLINK("https://amzn.to/2K7LwMR","link*")</f>
        <v>link*</v>
      </c>
      <c r="U27" s="79" t="str">
        <f>HYPERLINK("https://www.bhphotovideo.com/c/search?Ntt=sony%2024-105&amp;N=0&amp;InitialSearch=yes&amp;sts=ma&amp;Top+Nav-Search=&amp;BI=19619&amp;KBID=12129&amp;KWID=EZ","link*")</f>
        <v>link*</v>
      </c>
      <c r="V27" s="79" t="str">
        <f>HYPERLINK("https://amzn.to/2Ld8hOS","link*")</f>
        <v>link*</v>
      </c>
      <c r="W27" s="79" t="e">
        <f>HYPERLINK("http://rover.ebay.com/rover/1/711-53200-19255-0/1?icep_ff3=9&amp;pub=5575076376&amp;toolid=10001&amp;campid=5338573609&amp;customid=&amp;icep_uq=sony+g+24-105&amp;icep_sellerId=&amp;icep_ex_kw=&amp;icep_sortBy=12&amp;icep_catId=3323&amp;icep_minPrice=&amp;icep_maxPrice=&amp;ipn=psmain&amp;icep_vectorid=229"&amp;"466&amp;kwid=902099&amp;mtid=824&amp;kw=lg","link*")</f>
        <v>#VALUE!</v>
      </c>
    </row>
    <row r="28" spans="1:24" ht="13">
      <c r="A28" s="207" t="b">
        <v>0</v>
      </c>
      <c r="B28" s="616" t="b">
        <v>0</v>
      </c>
      <c r="C28" s="19" t="str">
        <f>HYPERLINK("https://phillipreeve.net/blog/rolling-review-carl-zeiss-vario-tessar-t-fe-424-70-za/","Sony ZA 4/24-70 OSS")</f>
        <v>Sony ZA 4/24-70 OSS</v>
      </c>
      <c r="D28" s="21">
        <v>426</v>
      </c>
      <c r="E28" s="23">
        <v>24</v>
      </c>
      <c r="F28" s="25">
        <v>4</v>
      </c>
      <c r="G28" s="221">
        <v>73</v>
      </c>
      <c r="H28" s="237">
        <v>95</v>
      </c>
      <c r="I28" s="39" t="s">
        <v>36</v>
      </c>
      <c r="J28" s="33" t="s">
        <v>73</v>
      </c>
      <c r="K28" s="35">
        <v>0.2</v>
      </c>
      <c r="L28" s="37">
        <v>40</v>
      </c>
      <c r="M28" s="238" t="s">
        <v>66</v>
      </c>
      <c r="N28" s="35">
        <v>7</v>
      </c>
      <c r="O28" s="162" t="s">
        <v>43</v>
      </c>
      <c r="P28" s="35" t="s">
        <v>41</v>
      </c>
      <c r="Q28" s="42">
        <v>41640</v>
      </c>
      <c r="R28" s="44">
        <v>898</v>
      </c>
      <c r="S28" s="44">
        <v>420</v>
      </c>
      <c r="T28" s="47" t="str">
        <f>HYPERLINK("http://amzn.to/2vlG2Yq","link*")</f>
        <v>link*</v>
      </c>
      <c r="U28" s="47" t="str">
        <f>HYPERLINK("https://www.bhphotovideo.com/c/product/1008126-REG/sony_sel2470z_vario_tessar_t_fe_24_70mm.html/BI/19619/KBID/12129/DFF/d10-v21-t1-x466842/SID/EZ","link*")</f>
        <v>link*</v>
      </c>
      <c r="V28" s="47" t="str">
        <f>HYPERLINK("http://amzn.to/2fl1XZk","link*")</f>
        <v>link*</v>
      </c>
      <c r="W28" s="47" t="e">
        <f>HYPERLINK("http://rover.ebay.com/rover/1/711-53200-19255-0/1?icep_ff3=10&amp;pub=5575076376&amp;toolid=10001&amp;campid=5338164340&amp;customid=&amp;icep_uq=sony+24-70+za&amp;icep_sellerId=&amp;icep_ex_kw=&amp;icep_sortBy=12&amp;icep_catId=&amp;icep_minPrice=&amp;icep_maxPrice=&amp;ipn=psmain&amp;icep_vectorid=229466"&amp;"&amp;kwid=902099&amp;mtid=824&amp;kw=lg","link*")</f>
        <v>#VALUE!</v>
      </c>
      <c r="X28" s="130"/>
    </row>
    <row r="29" spans="1:24" ht="13">
      <c r="A29" s="207" t="b">
        <v>0</v>
      </c>
      <c r="B29" s="616" t="b">
        <v>0</v>
      </c>
      <c r="C29" s="157" t="str">
        <f>HYPERLINK("https://phillipreeve.net/blog/review-zeiss-batis-distagon-t-25mm-f2/","Zeiss Batis 2/25")</f>
        <v>Zeiss Batis 2/25</v>
      </c>
      <c r="D29" s="50">
        <v>335</v>
      </c>
      <c r="E29" s="68">
        <v>25</v>
      </c>
      <c r="F29" s="52">
        <v>2</v>
      </c>
      <c r="G29" s="194">
        <v>92</v>
      </c>
      <c r="H29" s="195">
        <v>78</v>
      </c>
      <c r="I29" s="73" t="s">
        <v>36</v>
      </c>
      <c r="J29" s="57" t="s">
        <v>73</v>
      </c>
      <c r="K29" s="59">
        <v>0.19</v>
      </c>
      <c r="L29" s="71">
        <v>20</v>
      </c>
      <c r="M29" s="73" t="s">
        <v>27</v>
      </c>
      <c r="N29" s="59">
        <v>9</v>
      </c>
      <c r="O29" s="75" t="s">
        <v>140</v>
      </c>
      <c r="P29" s="59" t="s">
        <v>87</v>
      </c>
      <c r="Q29" s="83">
        <v>42125</v>
      </c>
      <c r="R29" s="61">
        <v>1299</v>
      </c>
      <c r="S29" s="61">
        <v>675</v>
      </c>
      <c r="T29" s="69" t="str">
        <f>HYPERLINK("https://amzn.to/2ypHQiT","link*")</f>
        <v>link*</v>
      </c>
      <c r="U29" s="69" t="str">
        <f>HYPERLINK("https://www.bhphotovideo.com/c/product/1140832-REG/zeiss_2103_750_25mm_f_2_0_batis_wide.html/BI/19619/KBID/12129/DFF/d10-v21-t1-x627141/SID/EZ","link*")</f>
        <v>link*</v>
      </c>
      <c r="V29" s="69" t="str">
        <f>HYPERLINK("https://amzn.to/2L20DIj","link*")</f>
        <v>link*</v>
      </c>
      <c r="W29" s="69" t="e">
        <f>HYPERLINK("http://rover.ebay.com/rover/1/711-53200-19255-0/1?icep_ff3=9&amp;pub=5575076376&amp;toolid=10001&amp;campid=5338573609&amp;customid=&amp;icep_uq=Zeiss+batis+25mm&amp;icep_sellerId=&amp;icep_ex_kw=&amp;icep_sortBy=12&amp;icep_catId=3323&amp;icep_minPrice=&amp;icep_maxPrice=&amp;ipn=psmain&amp;icep_vectorid="&amp;"229466&amp;kwid=902099&amp;mtid=824&amp;kw=lg","link*")</f>
        <v>#VALUE!</v>
      </c>
    </row>
    <row r="30" spans="1:24" ht="13">
      <c r="A30" s="117" t="b">
        <v>0</v>
      </c>
      <c r="B30" s="615" t="b">
        <v>0</v>
      </c>
      <c r="C30" s="19" t="str">
        <f>HYPERLINK("https://phillipreeve.net/blog/review-zeiss-loxia-2-4-25mm-distagon/","Zeiss Loxia 2.4/25")</f>
        <v>Zeiss Loxia 2.4/25</v>
      </c>
      <c r="D30" s="21">
        <v>393</v>
      </c>
      <c r="E30" s="23">
        <v>25</v>
      </c>
      <c r="F30" s="25">
        <v>2.4</v>
      </c>
      <c r="G30" s="221">
        <v>62</v>
      </c>
      <c r="H30" s="237">
        <v>75</v>
      </c>
      <c r="I30" s="39" t="s">
        <v>25</v>
      </c>
      <c r="J30" s="33" t="s">
        <v>131</v>
      </c>
      <c r="K30" s="35">
        <v>0.16</v>
      </c>
      <c r="L30" s="37">
        <v>25</v>
      </c>
      <c r="M30" s="39" t="s">
        <v>27</v>
      </c>
      <c r="N30" s="35">
        <v>10</v>
      </c>
      <c r="O30" s="162" t="s">
        <v>140</v>
      </c>
      <c r="P30" s="35" t="s">
        <v>87</v>
      </c>
      <c r="Q30" s="42">
        <v>43160</v>
      </c>
      <c r="R30" s="44">
        <v>1299</v>
      </c>
      <c r="S30" s="44" t="s">
        <v>44</v>
      </c>
      <c r="T30" s="47" t="str">
        <f>HYPERLINK("https://amzn.to/2OlyeAf","link*")</f>
        <v>link*</v>
      </c>
      <c r="U30" s="47" t="str">
        <f>HYPERLINK("https://www.bhphotovideo.com/c/product/1389169-REG/zeiss_000000_2218_783_loxia_25mm_f_2_4_lens.html/BI/19619/KBID/12129/kw/ZE2524L/DFF/d10-v2-t1-xZE2524L","link*")</f>
        <v>link*</v>
      </c>
      <c r="V30" s="47" t="str">
        <f>HYPERLINK("https://amzn.to/2OlyeAf","link*")</f>
        <v>link*</v>
      </c>
      <c r="W30" s="47" t="e">
        <f>HYPERLINK("http://rover.ebay.com/rover/1/711-53200-19255-0/1?icep_ff3=9&amp;pub=5575076376&amp;toolid=10001&amp;campid=5338573609&amp;customid=&amp;icep_uq=Zeiss+loxia+25mm&amp;icep_sellerId=&amp;icep_ex_kw=&amp;icep_sortBy=12&amp;icep_catId=3323&amp;icep_minPrice=&amp;icep_maxPrice=&amp;ipn=psmain&amp;icep_vectorid="&amp;"229466&amp;kwid=902099&amp;mtid=824&amp;kw=lg","link*")</f>
        <v>#VALUE!</v>
      </c>
      <c r="X30" s="130"/>
    </row>
    <row r="31" spans="1:24" ht="13">
      <c r="A31" s="117" t="b">
        <v>0</v>
      </c>
      <c r="B31" s="615" t="b">
        <v>0</v>
      </c>
      <c r="C31" s="66" t="s">
        <v>141</v>
      </c>
      <c r="D31" s="50">
        <v>965</v>
      </c>
      <c r="E31" s="68">
        <v>28</v>
      </c>
      <c r="F31" s="52">
        <v>1.4</v>
      </c>
      <c r="G31" s="194">
        <v>83</v>
      </c>
      <c r="H31" s="195">
        <v>134</v>
      </c>
      <c r="I31" s="73" t="s">
        <v>36</v>
      </c>
      <c r="J31" s="57" t="s">
        <v>80</v>
      </c>
      <c r="K31" s="59">
        <v>0.19</v>
      </c>
      <c r="L31" s="71">
        <v>28</v>
      </c>
      <c r="M31" s="73" t="s">
        <v>27</v>
      </c>
      <c r="N31" s="59">
        <v>9</v>
      </c>
      <c r="O31" s="75" t="s">
        <v>133</v>
      </c>
      <c r="P31" s="59" t="s">
        <v>47</v>
      </c>
      <c r="Q31" s="83">
        <v>43435</v>
      </c>
      <c r="R31" s="61">
        <v>1399</v>
      </c>
      <c r="S31" s="61" t="s">
        <v>44</v>
      </c>
      <c r="T31" s="69" t="str">
        <f>HYPERLINK("https://amzn.to/2Wn0pxO","link*")</f>
        <v>link*</v>
      </c>
      <c r="U31" s="69" t="str">
        <f>HYPERLINK("https://www.bhphotovideo.com/c/product/1436285-REG/sigma_28mm_f_1_4_dg_hsm.html/BI/19619/KBID/12129/kw/SI2814DGSE/DFF/d10-v2-t1-xSI2814DGSE","link*")</f>
        <v>link*</v>
      </c>
      <c r="V31" s="69" t="str">
        <f>HYPERLINK("https://amzn.to/2WzVkHd","link*")</f>
        <v>link*</v>
      </c>
      <c r="W31" s="69" t="e">
        <f>HYPERLINK("http://rover.ebay.com/rover/1/711-53200-19255-0/1?icep_ff3=9&amp;pub=5575076376&amp;toolid=10001&amp;campid=5338573609&amp;customid=&amp;icep_uq=sigma+art+28mm+e-mount&amp;icep_sellerId=&amp;icep_ex_kw=&amp;icep_sortBy=12&amp;icep_catId=3323&amp;icep_minPrice=&amp;icep_maxPrice=&amp;ipn=psmain&amp;icep_vec"&amp;"torid=229466&amp;kwid=902099&amp;mtid=824&amp;kw=lg","link*")</f>
        <v>#VALUE!</v>
      </c>
    </row>
    <row r="32" spans="1:24" ht="13">
      <c r="A32" s="117" t="b">
        <v>0</v>
      </c>
      <c r="B32" s="615" t="b">
        <v>0</v>
      </c>
      <c r="C32" s="126" t="str">
        <f>HYPERLINK("https://www.systemkamera-forum.de/blog/2015/05/sony-fe-28mm-f2-test-und-erfahrungsbericht/","Sony FE 2/28")</f>
        <v>Sony FE 2/28</v>
      </c>
      <c r="D32" s="60">
        <v>200</v>
      </c>
      <c r="E32" s="62">
        <v>28</v>
      </c>
      <c r="F32" s="64">
        <v>2</v>
      </c>
      <c r="G32" s="194">
        <v>60</v>
      </c>
      <c r="H32" s="195">
        <v>60</v>
      </c>
      <c r="I32" s="70" t="s">
        <v>36</v>
      </c>
      <c r="J32" s="72" t="s">
        <v>124</v>
      </c>
      <c r="K32" s="74">
        <v>0.13</v>
      </c>
      <c r="L32" s="84">
        <v>29</v>
      </c>
      <c r="M32" s="70" t="s">
        <v>27</v>
      </c>
      <c r="N32" s="74">
        <v>9</v>
      </c>
      <c r="O32" s="136" t="s">
        <v>91</v>
      </c>
      <c r="P32" s="74" t="s">
        <v>41</v>
      </c>
      <c r="Q32" s="88">
        <v>42064</v>
      </c>
      <c r="R32" s="156">
        <v>448</v>
      </c>
      <c r="S32" s="156">
        <v>280</v>
      </c>
      <c r="T32" s="79" t="str">
        <f>HYPERLINK("https://amzn.to/2GXJWdo","link*")</f>
        <v>link*</v>
      </c>
      <c r="U32" s="79" t="str">
        <f>HYPERLINK("https://www.bhphotovideo.com/c/product/1402637-REG/sony_fe_28mm_f_2_lens.html/BI/19619/KBID/12129/kw/SO2820F/DFF/d10-v2-t1-xSO2820F","link*")</f>
        <v>link*</v>
      </c>
      <c r="V32" s="79" t="str">
        <f>HYPERLINK("http://amzn.to/2wyLOCO","link*")</f>
        <v>link*</v>
      </c>
      <c r="W32" s="79" t="e">
        <f>HYPERLINK("http://rover.ebay.com/rover/1/711-53200-19255-0/1?icep_ff3=10&amp;pub=5575076376&amp;toolid=10001&amp;campid=5338164340&amp;customid=&amp;icep_uq=sony+28+f2&amp;icep_sellerId=&amp;icep_ex_kw=&amp;icep_sortBy=12&amp;icep_catId=&amp;icep_minPrice=&amp;icep_maxPrice=&amp;ipn=psmain&amp;icep_vectorid=229466&amp;kw"&amp;"id=902099&amp;mtid=824&amp;kw=lg","link*")</f>
        <v>#VALUE!</v>
      </c>
    </row>
    <row r="33" spans="1:24" ht="13">
      <c r="A33" s="207" t="b">
        <v>0</v>
      </c>
      <c r="B33" s="616" t="b">
        <v>0</v>
      </c>
      <c r="C33" s="126" t="str">
        <f>HYPERLINK("https://phillipreeve.net/blog/review-tamron-28-75mm-f-2-8-di-iii-rxd-sony-e-mount/","Tamron 2.8/28-75")</f>
        <v>Tamron 2.8/28-75</v>
      </c>
      <c r="D33" s="60">
        <v>550</v>
      </c>
      <c r="E33" s="62">
        <v>28</v>
      </c>
      <c r="F33" s="64">
        <v>2.8</v>
      </c>
      <c r="G33" s="194">
        <v>73</v>
      </c>
      <c r="H33" s="195">
        <v>118</v>
      </c>
      <c r="I33" s="70" t="s">
        <v>36</v>
      </c>
      <c r="J33" s="72" t="s">
        <v>73</v>
      </c>
      <c r="K33" s="201">
        <v>0.34</v>
      </c>
      <c r="L33" s="84">
        <v>19</v>
      </c>
      <c r="M33" s="70" t="s">
        <v>27</v>
      </c>
      <c r="N33" s="74">
        <v>9</v>
      </c>
      <c r="O33" s="136" t="s">
        <v>122</v>
      </c>
      <c r="P33" s="74" t="s">
        <v>78</v>
      </c>
      <c r="Q33" s="88">
        <v>43252</v>
      </c>
      <c r="R33" s="156">
        <v>879</v>
      </c>
      <c r="S33" s="76">
        <v>790</v>
      </c>
      <c r="T33" s="79" t="str">
        <f>HYPERLINK("https://amzn.to/2ST5uxq","link*")</f>
        <v>link*</v>
      </c>
      <c r="U33" s="79" t="str">
        <f>HYPERLINK("https://www.bhphotovideo.com/c/product/1393332-REG/tamron_a036_28_75mm_f_2_8_di_iii.html/BI/19619/KBID/12129/DFF/d10-v21-t1-x892059/SID/EZ","link*")</f>
        <v>link*</v>
      </c>
      <c r="V33" s="79" t="str">
        <f>HYPERLINK("https://amzn.to/2ZmSzdU","link*")</f>
        <v>link*</v>
      </c>
      <c r="W33" s="79" t="e">
        <f>HYPERLINK("http://rover.ebay.com/rover/1/711-53200-19255-0/1?icep_ff3=9&amp;pub=5575076376&amp;toolid=10001&amp;campid=5338573609&amp;customid=&amp;icep_uq=tamron+28-75+sony&amp;icep_sellerId=&amp;icep_ex_kw=&amp;icep_sortBy=12&amp;icep_catId=3323&amp;icep_minPrice=&amp;icep_maxPrice=&amp;ipn=psmain&amp;icep_vectorid"&amp;"=229466&amp;kwid=902099&amp;mtid=824&amp;kw=lg","link*")</f>
        <v>#VALUE!</v>
      </c>
    </row>
    <row r="34" spans="1:24" ht="13">
      <c r="A34" s="117" t="b">
        <v>0</v>
      </c>
      <c r="B34" s="615" t="b">
        <v>0</v>
      </c>
      <c r="C34" s="58" t="s">
        <v>145</v>
      </c>
      <c r="D34" s="60">
        <v>295</v>
      </c>
      <c r="E34" s="62">
        <v>28</v>
      </c>
      <c r="F34" s="64" t="s">
        <v>146</v>
      </c>
      <c r="G34" s="194">
        <v>73</v>
      </c>
      <c r="H34" s="195">
        <v>83</v>
      </c>
      <c r="I34" s="70" t="s">
        <v>36</v>
      </c>
      <c r="J34" s="72" t="s">
        <v>147</v>
      </c>
      <c r="K34" s="74">
        <v>0.19</v>
      </c>
      <c r="L34" s="84">
        <v>30</v>
      </c>
      <c r="M34" s="134" t="s">
        <v>66</v>
      </c>
      <c r="N34" s="74">
        <v>7</v>
      </c>
      <c r="O34" s="136" t="s">
        <v>91</v>
      </c>
      <c r="P34" s="74" t="s">
        <v>41</v>
      </c>
      <c r="Q34" s="88">
        <v>41548</v>
      </c>
      <c r="R34" s="76">
        <v>398</v>
      </c>
      <c r="S34" s="76">
        <v>110</v>
      </c>
      <c r="T34" s="79" t="str">
        <f>HYPERLINK("https://www.amazon.com/gp/product/B00FYOFADE/ref=as_li_tl?ie=UTF8&amp;tag=wwwphillipree-20&amp;camp=1789&amp;creative=9325&amp;linkCode=as2&amp;creativeASIN=B00FYOFADE&amp;linkId=96720b245156eae53bb1a672d4453d3f","link*")</f>
        <v>link*</v>
      </c>
      <c r="U34" s="79" t="str">
        <f>HYPERLINK("https://www.bhphotovideo.com/c/product/1015472-REG/sony_sel2870_fe_28_70mm_f_3_5_5_6_oss.html/BI/19619/KBID/12129/DFF/d10-v21-t1-x473993/SID/EZ","link*")</f>
        <v>link*</v>
      </c>
      <c r="V34" s="79" t="str">
        <f>HYPERLINK("https://www.amazon.de/gp/product/B00HSHFPD0/ref=as_li_tl?ie=UTF8&amp;tag=wwwphillipree-21&amp;camp=1638&amp;creative=6742&amp;linkCode=as2&amp;creativeASIN=B00HSHFPD0&amp;linkId=6701f30673f8a4071232ca85e1953506","link*")</f>
        <v>link*</v>
      </c>
      <c r="W34" s="79" t="e">
        <f>HYPERLINK("http://rover.ebay.com/rover/1/711-53200-19255-0/1?icep_ff3=10&amp;pub=5575153444&amp;toolid=10001&amp;campid=5338162593&amp;customid=&amp;icep_uq=Sony+28-70+FE&amp;icep_sellerId=&amp;icep_ex_kw=&amp;icep_sortBy=12&amp;icep_catId=&amp;icep_minPrice=&amp;icep_maxPrice=&amp;ipn=psmain&amp;icep_vectorid=229466"&amp;"&amp;kwid=902099&amp;mtid=824&amp;kw=lg","link*")</f>
        <v>#VALUE!</v>
      </c>
    </row>
    <row r="35" spans="1:24" ht="13">
      <c r="A35" s="117" t="b">
        <v>0</v>
      </c>
      <c r="B35" s="615" t="b">
        <v>0</v>
      </c>
      <c r="C35" s="120" t="s">
        <v>151</v>
      </c>
      <c r="D35" s="21">
        <v>1215</v>
      </c>
      <c r="E35" s="23">
        <v>28</v>
      </c>
      <c r="F35" s="25">
        <v>4</v>
      </c>
      <c r="G35" s="221">
        <v>105</v>
      </c>
      <c r="H35" s="237">
        <v>165</v>
      </c>
      <c r="I35" s="39" t="s">
        <v>36</v>
      </c>
      <c r="J35" s="240" t="s">
        <v>152</v>
      </c>
      <c r="K35" s="222"/>
      <c r="L35" s="37">
        <v>40</v>
      </c>
      <c r="M35" s="238" t="s">
        <v>66</v>
      </c>
      <c r="N35" s="35">
        <v>9</v>
      </c>
      <c r="O35" s="162" t="s">
        <v>153</v>
      </c>
      <c r="P35" s="35" t="s">
        <v>41</v>
      </c>
      <c r="Q35" s="42">
        <v>41883</v>
      </c>
      <c r="R35" s="44">
        <v>2498</v>
      </c>
      <c r="S35" s="44">
        <v>1400</v>
      </c>
      <c r="T35" s="47" t="str">
        <f>HYPERLINK("http://amzn.to/2v2kiy9","link*")</f>
        <v>link*</v>
      </c>
      <c r="U35" s="47" t="str">
        <f>HYPERLINK("https://www.bhphotovideo.com/c/product/1082051-REG/sony_selp28135g_e_pz_28_135mm_f_4.html/BI/19619/KBID/12129/DFF/d10-v21-t1-x556056/SID/EZ","link*")</f>
        <v>link*</v>
      </c>
      <c r="V35" s="47" t="str">
        <f>HYPERLINK("http://amzn.to/2wlpg9b","link*")</f>
        <v>link*</v>
      </c>
      <c r="W35" s="47" t="e">
        <f>HYPERLINK("http://rover.ebay.com/rover/1/711-53200-19255-0/1?icep_ff3=10&amp;pub=5575076376&amp;toolid=10001&amp;campid=5338164340&amp;customid=&amp;icep_uq=sony+28-135&amp;icep_sellerId=&amp;icep_ex_kw=&amp;icep_sortBy=12&amp;icep_catId=&amp;icep_minPrice=&amp;icep_maxPrice=&amp;ipn=psmain&amp;icep_vectorid=229466&amp;k"&amp;"wid=902099&amp;mtid=824&amp;kw=lg","link*")</f>
        <v>#VALUE!</v>
      </c>
      <c r="X35" s="56" t="s">
        <v>154</v>
      </c>
    </row>
    <row r="36" spans="1:24" ht="15.75" customHeight="1">
      <c r="A36" s="207" t="b">
        <v>0</v>
      </c>
      <c r="B36" s="616" t="b">
        <v>0</v>
      </c>
      <c r="C36" s="157" t="str">
        <f>HYPERLINK("https://phillipreeve.net/blog/review-sigma-35mm-1-2-art-dg-dn/","Sigma Art 1.2/35")</f>
        <v>Sigma Art 1.2/35</v>
      </c>
      <c r="D36" s="50">
        <v>1090</v>
      </c>
      <c r="E36" s="68">
        <v>35</v>
      </c>
      <c r="F36" s="242">
        <v>1.2</v>
      </c>
      <c r="G36" s="194">
        <v>88</v>
      </c>
      <c r="H36" s="195">
        <v>136</v>
      </c>
      <c r="I36" s="59" t="s">
        <v>36</v>
      </c>
      <c r="J36" s="243" t="s">
        <v>68</v>
      </c>
      <c r="K36" s="59">
        <v>0.19</v>
      </c>
      <c r="L36" s="71">
        <v>30</v>
      </c>
      <c r="M36" s="73" t="s">
        <v>27</v>
      </c>
      <c r="N36" s="59">
        <v>11</v>
      </c>
      <c r="O36" s="110">
        <v>43816</v>
      </c>
      <c r="P36" s="59" t="s">
        <v>47</v>
      </c>
      <c r="Q36" s="83">
        <v>43647</v>
      </c>
      <c r="R36" s="61">
        <v>1499</v>
      </c>
      <c r="S36" s="61" t="s">
        <v>44</v>
      </c>
      <c r="T36" s="69" t="str">
        <f>HYPERLINK("https://amzn.to/2LiHhxc","link*")</f>
        <v>link*</v>
      </c>
      <c r="U36" s="69" t="str">
        <f>HYPERLINK("https://www.bhphotovideo.com/c/product/1492967-REG/sigma_341969_35mm_f_1_2_dg_dn.html/BI/19619/KBID/12129/DFF/d10-v21-t1-x976038/SID/EZ","link*")</f>
        <v>link*</v>
      </c>
      <c r="V36" s="189"/>
      <c r="W36" s="69" t="e">
        <f>HYPERLINK("http://rover.ebay.com/rover/1/711-53200-19255-0/1?icep_ff3=9&amp;pub=5575076376&amp;toolid=10001&amp;campid=5338573609&amp;customid=&amp;icep_uq=sigma+art+35+1.2+-1.4+sony&amp;icep_sellerId=&amp;icep_ex_kw=&amp;icep_sortBy=12&amp;icep_catId=3323&amp;icep_minPrice=&amp;icep_maxPrice=&amp;ipn=psmain&amp;icep"&amp;"_vectorid=229466&amp;kwid=902099&amp;mtid=824&amp;kw=lg","link*")</f>
        <v>#VALUE!</v>
      </c>
    </row>
    <row r="37" spans="1:24" ht="13">
      <c r="A37" s="621" t="b">
        <v>0</v>
      </c>
      <c r="B37" s="622" t="b">
        <v>0</v>
      </c>
      <c r="C37" s="126" t="str">
        <f>HYPERLINK("https://phillipreeve.net/blog/review-sony-fe-35mm-1-4-za/","Sony ZA 1.4/35")</f>
        <v>Sony ZA 1.4/35</v>
      </c>
      <c r="D37" s="60">
        <v>630</v>
      </c>
      <c r="E37" s="62">
        <v>35</v>
      </c>
      <c r="F37" s="64">
        <v>1.4</v>
      </c>
      <c r="G37" s="194">
        <v>79</v>
      </c>
      <c r="H37" s="195">
        <v>112</v>
      </c>
      <c r="I37" s="74" t="s">
        <v>36</v>
      </c>
      <c r="J37" s="72" t="s">
        <v>64</v>
      </c>
      <c r="K37" s="74">
        <v>0.18</v>
      </c>
      <c r="L37" s="84">
        <v>30</v>
      </c>
      <c r="M37" s="70" t="s">
        <v>27</v>
      </c>
      <c r="N37" s="74">
        <v>9</v>
      </c>
      <c r="O37" s="112">
        <v>43689</v>
      </c>
      <c r="P37" s="74" t="s">
        <v>41</v>
      </c>
      <c r="Q37" s="88">
        <v>42064</v>
      </c>
      <c r="R37" s="76">
        <v>1599</v>
      </c>
      <c r="S37" s="76">
        <v>900</v>
      </c>
      <c r="T37" s="79" t="str">
        <f>HYPERLINK("https://amzn.to/2LRSMOS","link*")</f>
        <v>link*</v>
      </c>
      <c r="U37" s="79" t="str">
        <f>HYPERLINK("https://www.bhphotovideo.com/c/product/1126137-REG/sony_sel35f14z_distagon_t_fe_35mm.html/BI/19619/KBID/12129/DFF/d10-v21-t1-x612725/SID/EZ","link*")</f>
        <v>link*</v>
      </c>
      <c r="V37" s="79" t="str">
        <f>HYPERLINK("https://amzn.to/2ZmfSnX","link*")</f>
        <v>link*</v>
      </c>
      <c r="W37" s="79" t="e">
        <f>HYPERLINK("http://rover.ebay.com/rover/1/711-53200-19255-0/1?icep_ff3=9&amp;pub=5575076376&amp;toolid=10001&amp;campid=5338573609&amp;customid=&amp;icep_uq=sony+35+1.4+fe-a-mount&amp;icep_sellerId=&amp;icep_ex_kw=&amp;icep_sortBy=12&amp;icep_catId=3323&amp;icep_minPrice=&amp;icep_maxPrice=&amp;ipn=psmain&amp;icep_vec"&amp;"torid=229466&amp;kwid=902099&amp;mtid=824&amp;kw=lg","link*")</f>
        <v>#VALUE!</v>
      </c>
    </row>
    <row r="38" spans="1:24" ht="15.75" customHeight="1">
      <c r="A38" s="117" t="b">
        <v>0</v>
      </c>
      <c r="B38" s="615" t="b">
        <v>0</v>
      </c>
      <c r="C38" s="58" t="s">
        <v>155</v>
      </c>
      <c r="D38" s="60">
        <v>645</v>
      </c>
      <c r="E38" s="62">
        <v>35</v>
      </c>
      <c r="F38" s="64">
        <v>1.4</v>
      </c>
      <c r="G38" s="194">
        <v>76</v>
      </c>
      <c r="H38" s="176">
        <v>115</v>
      </c>
      <c r="I38" s="74" t="s">
        <v>36</v>
      </c>
      <c r="J38" s="72" t="s">
        <v>73</v>
      </c>
      <c r="K38" s="74">
        <v>0.17</v>
      </c>
      <c r="L38" s="84">
        <v>30</v>
      </c>
      <c r="M38" s="70" t="s">
        <v>27</v>
      </c>
      <c r="N38" s="74">
        <v>9</v>
      </c>
      <c r="O38" s="112">
        <v>43719</v>
      </c>
      <c r="P38" s="74" t="s">
        <v>38</v>
      </c>
      <c r="Q38" s="88">
        <v>43009</v>
      </c>
      <c r="R38" s="76">
        <v>799</v>
      </c>
      <c r="S38" s="76">
        <v>400</v>
      </c>
      <c r="T38" s="79" t="str">
        <f>HYPERLINK("https://amzn.to/2K8DDXH","link*")</f>
        <v>link*</v>
      </c>
      <c r="U38" s="79" t="str">
        <f>HYPERLINK("https://www.bhphotovideo.com/c/product/1373698-REG/samyang_syio3514_e_35mm_f1_4_auto_focus.html/BI/19619/KBID/12129/DFF/d10-v21-t1-x858016/SID/EZ","link*")</f>
        <v>link*</v>
      </c>
      <c r="V38" s="79" t="str">
        <f>HYPERLINK("https://amzn.to/2Zhl3FI","link*")</f>
        <v>link*</v>
      </c>
      <c r="W38" s="79" t="e">
        <f>HYPERLINK("http://rover.ebay.com/rover/1/711-53200-19255-0/1?icep_ff3=9&amp;pub=5575076376&amp;toolid=10001&amp;campid=5338573609&amp;customid=&amp;icep_uq=sony+35+1.4+samyang+af&amp;icep_sellerId=&amp;icep_ex_kw=&amp;icep_sortBy=12&amp;icep_catId=3323&amp;icep_minPrice=&amp;icep_maxPrice=&amp;ipn=psmain&amp;icep_vec"&amp;"torid=229466&amp;kwid=902099&amp;mtid=824&amp;kw=lg","link*")</f>
        <v>#VALUE!</v>
      </c>
      <c r="X38" s="77" t="s">
        <v>156</v>
      </c>
    </row>
    <row r="39" spans="1:24" ht="13">
      <c r="A39" s="117" t="b">
        <v>0</v>
      </c>
      <c r="B39" s="615" t="b">
        <v>0</v>
      </c>
      <c r="C39" s="126" t="str">
        <f>HYPERLINK("https://phillipreeve.net/blog/review-voigtlander-35mm-1-4-nokton-e-classic/","Voigtlander 35mm F1.4 Nokton Classic")</f>
        <v>Voigtlander 35mm F1.4 Nokton Classic</v>
      </c>
      <c r="D39" s="60">
        <v>262</v>
      </c>
      <c r="E39" s="62">
        <v>35</v>
      </c>
      <c r="F39" s="64">
        <v>1.4</v>
      </c>
      <c r="G39" s="194">
        <v>67</v>
      </c>
      <c r="H39" s="176">
        <v>40</v>
      </c>
      <c r="I39" s="74" t="s">
        <v>25</v>
      </c>
      <c r="J39" s="72" t="s">
        <v>71</v>
      </c>
      <c r="K39" s="74">
        <v>0.16</v>
      </c>
      <c r="L39" s="84">
        <v>30</v>
      </c>
      <c r="M39" s="70" t="s">
        <v>27</v>
      </c>
      <c r="N39" s="74">
        <v>10</v>
      </c>
      <c r="O39" s="112">
        <v>43624</v>
      </c>
      <c r="P39" s="74" t="s">
        <v>29</v>
      </c>
      <c r="Q39" s="88">
        <v>43132</v>
      </c>
      <c r="R39" s="76">
        <v>799</v>
      </c>
      <c r="S39" s="76">
        <v>450</v>
      </c>
      <c r="T39" s="79" t="str">
        <f>HYPERLINK("https://amzn.to/2M1M8WH","link*")</f>
        <v>link*</v>
      </c>
      <c r="U39" s="79" t="str">
        <f>HYPERLINK("https://www.bhphotovideo.com/c/product/1381712-REG/voigtlander_nokton_classic_35mm_f_1_4.html/BI/19619/KBID/12129/DFF/d10-v21-t1-x877353/SID/EZ","link*")</f>
        <v>link*</v>
      </c>
      <c r="V39" s="79" t="str">
        <f>HYPERLINK("https://amzn.to/2ZswTZ3","link*")</f>
        <v>link*</v>
      </c>
      <c r="W39" s="79" t="e">
        <f>HYPERLINK("http://rover.ebay.com/rover/1/711-53200-19255-0/1?icep_ff3=9&amp;pub=5575076376&amp;toolid=10001&amp;campid=5338573609&amp;customid=&amp;icep_uq=Voigtlander+Sony+35mm+1.4&amp;icep_sellerId=&amp;icep_ex_kw=&amp;icep_sortBy=12&amp;icep_catId=3323&amp;icep_minPrice=&amp;icep_maxPrice=&amp;ipn=psmain&amp;icep_"&amp;"vectorid=229466&amp;kwid=902099&amp;mtid=824&amp;kw=lg","link*")</f>
        <v>#VALUE!</v>
      </c>
    </row>
    <row r="40" spans="1:24" ht="15.75" customHeight="1">
      <c r="A40" s="207" t="b">
        <v>0</v>
      </c>
      <c r="B40" s="616" t="b">
        <v>0</v>
      </c>
      <c r="C40" s="126" t="str">
        <f>HYPERLINK("https://phillipreeve.net/blog/review-sigma-35mm-1-4-art/","Sigma Art 1.4/35")</f>
        <v>Sigma Art 1.4/35</v>
      </c>
      <c r="D40" s="60">
        <v>740</v>
      </c>
      <c r="E40" s="62">
        <v>35</v>
      </c>
      <c r="F40" s="64">
        <v>1.4</v>
      </c>
      <c r="G40" s="194">
        <v>77</v>
      </c>
      <c r="H40" s="200">
        <v>121</v>
      </c>
      <c r="I40" s="74" t="s">
        <v>36</v>
      </c>
      <c r="J40" s="72" t="s">
        <v>73</v>
      </c>
      <c r="K40" s="74">
        <v>0.19</v>
      </c>
      <c r="L40" s="84">
        <v>30</v>
      </c>
      <c r="M40" s="70" t="s">
        <v>27</v>
      </c>
      <c r="N40" s="74">
        <v>9</v>
      </c>
      <c r="O40" s="112">
        <v>43782</v>
      </c>
      <c r="P40" s="74" t="s">
        <v>47</v>
      </c>
      <c r="Q40" s="88">
        <v>43221</v>
      </c>
      <c r="R40" s="156">
        <v>899</v>
      </c>
      <c r="S40" s="156">
        <v>600</v>
      </c>
      <c r="T40" s="79" t="str">
        <f>HYPERLINK("https://amzn.to/2LOaQcZ","link*")</f>
        <v>link*</v>
      </c>
      <c r="U40" s="79" t="str">
        <f>HYPERLINK("https://www.bhphotovideo.com/c/product/1393492-REG/sigma_35mm_f_1_4_dg_hsm.html/BI/19619/KBID/12129/DFF/d10-v21-t1-x881157/SID/EZ","link*")</f>
        <v>link*</v>
      </c>
      <c r="V40" s="79" t="str">
        <f>HYPERLINK("https://amzn.to/2ZrfakE","link*")</f>
        <v>link*</v>
      </c>
      <c r="W40" s="79" t="e">
        <f>HYPERLINK("http://rover.ebay.com/rover/1/711-53200-19255-0/1?icep_ff3=9&amp;pub=5575076376&amp;toolid=10001&amp;campid=5338573609&amp;customid=&amp;icep_uq=sony+35+1.4+sigma+af&amp;icep_sellerId=&amp;icep_ex_kw=&amp;icep_sortBy=12&amp;icep_catId=3323&amp;icep_minPrice=&amp;icep_maxPrice=&amp;ipn=psmain&amp;icep_vecto"&amp;"rid=229466&amp;kwid=902099&amp;mtid=824&amp;kw=lg","link*")</f>
        <v>#VALUE!</v>
      </c>
      <c r="X40" s="77" t="s">
        <v>48</v>
      </c>
    </row>
    <row r="41" spans="1:24" ht="13">
      <c r="A41" s="117" t="b">
        <v>0</v>
      </c>
      <c r="B41" s="615" t="b">
        <v>0</v>
      </c>
      <c r="C41" s="126" t="str">
        <f>HYPERLINK("https://phillipreeve.net/blog/review-sony-fe-35mm-f1-8/","Sony FE 1.8/35")</f>
        <v>Sony FE 1.8/35</v>
      </c>
      <c r="D41" s="60">
        <v>280</v>
      </c>
      <c r="E41" s="62">
        <v>35</v>
      </c>
      <c r="F41" s="64">
        <v>1.8</v>
      </c>
      <c r="G41" s="194">
        <v>66</v>
      </c>
      <c r="H41" s="176">
        <v>73</v>
      </c>
      <c r="I41" s="74" t="s">
        <v>36</v>
      </c>
      <c r="J41" s="72" t="s">
        <v>147</v>
      </c>
      <c r="K41" s="239">
        <v>0.24</v>
      </c>
      <c r="L41" s="84">
        <v>22</v>
      </c>
      <c r="M41" s="70" t="s">
        <v>27</v>
      </c>
      <c r="N41" s="74">
        <v>9</v>
      </c>
      <c r="O41" s="112">
        <v>43719</v>
      </c>
      <c r="P41" s="74" t="s">
        <v>41</v>
      </c>
      <c r="Q41" s="88">
        <v>43647</v>
      </c>
      <c r="R41" s="76">
        <v>749</v>
      </c>
      <c r="S41" s="76" t="s">
        <v>44</v>
      </c>
      <c r="T41" s="79" t="str">
        <f>HYPERLINK("https://amzn.to/31HFLMg","link*")</f>
        <v>link*</v>
      </c>
      <c r="U41" s="79" t="str">
        <f>HYPERLINK("https://www.bhphotovideo.com/c/product/1492866-REG/sony_sel35f18f_35mm_f_1_8_fe_lens.html/BI/19619/KBID/12129/DFF/d10-v21-t1-x975763/SID/EZ","link*")</f>
        <v>link*</v>
      </c>
      <c r="V41" s="79" t="str">
        <f>HYPERLINK("https://amzn.to/2PiATLC","link*")</f>
        <v>link*</v>
      </c>
      <c r="W41" s="79" t="e">
        <f>HYPERLINK("http://rover.ebay.com/rover/1/711-53200-19255-0/1?icep_ff3=9&amp;pub=5575076376&amp;toolid=10001&amp;campid=5338573609&amp;customid=&amp;icep_uq=sony+fe+35+1.8&amp;icep_sellerId=&amp;icep_ex_kw=&amp;icep_sortBy=12&amp;icep_catId=3323&amp;icep_minPrice=&amp;icep_maxPrice=&amp;ipn=psmain&amp;icep_vectorid=22"&amp;"9466&amp;kwid=902099&amp;mtid=824&amp;kw=lg","link*")</f>
        <v>#VALUE!</v>
      </c>
    </row>
    <row r="42" spans="1:24" ht="15.75" customHeight="1">
      <c r="A42" s="117" t="b">
        <v>0</v>
      </c>
      <c r="B42" s="615" t="b">
        <v>0</v>
      </c>
      <c r="C42" s="126" t="str">
        <f>HYPERLINK("https://phillipreeve.net/blog/review-zeiss-loxia-35mm-2-0/","Zeiss Loxia 2/35 Biogon T*")</f>
        <v>Zeiss Loxia 2/35 Biogon T*</v>
      </c>
      <c r="D42" s="60">
        <v>340</v>
      </c>
      <c r="E42" s="62">
        <v>35</v>
      </c>
      <c r="F42" s="64">
        <v>2</v>
      </c>
      <c r="G42" s="194">
        <v>62</v>
      </c>
      <c r="H42" s="195">
        <v>66</v>
      </c>
      <c r="I42" s="74" t="s">
        <v>25</v>
      </c>
      <c r="J42" s="72" t="s">
        <v>131</v>
      </c>
      <c r="K42" s="74">
        <v>0.17</v>
      </c>
      <c r="L42" s="84">
        <v>30</v>
      </c>
      <c r="M42" s="70" t="s">
        <v>27</v>
      </c>
      <c r="N42" s="74">
        <v>10</v>
      </c>
      <c r="O42" s="112">
        <v>43625</v>
      </c>
      <c r="P42" s="74" t="s">
        <v>87</v>
      </c>
      <c r="Q42" s="88">
        <v>41974</v>
      </c>
      <c r="R42" s="76">
        <v>1299</v>
      </c>
      <c r="S42" s="76">
        <v>630</v>
      </c>
      <c r="T42" s="79" t="str">
        <f>HYPERLINK("https://amzn.to/2T2sJWe","link*")</f>
        <v>link*</v>
      </c>
      <c r="U42" s="79" t="str">
        <f>HYPERLINK("https://www.bhphotovideo.com/c/product/1080388-REG/zeiss_2103_749_loxia_35mm_f_2_biogon.html/BI/19619/KBID/12129/DFF/d10-v21-t1-x553792/SID/EZ","link*")</f>
        <v>link*</v>
      </c>
      <c r="V42" s="113" t="s">
        <v>51</v>
      </c>
      <c r="W42" s="79" t="e">
        <f>HYPERLINK("http://rover.ebay.com/rover/1/711-53200-19255-0/1?icep_ff3=9&amp;pub=5575076376&amp;toolid=10001&amp;campid=5338573609&amp;customid=&amp;icep_uq=loxia+35&amp;icep_sellerId=&amp;icep_ex_kw=&amp;icep_sortBy=12&amp;icep_catId=3323&amp;icep_minPrice=&amp;icep_maxPrice=&amp;ipn=psmain&amp;icep_vectorid=229466&amp;k"&amp;"wid=902099&amp;mtid=824&amp;kw=lg","link*")</f>
        <v>#VALUE!</v>
      </c>
      <c r="X42" s="77" t="s">
        <v>166</v>
      </c>
    </row>
    <row r="43" spans="1:24" ht="13">
      <c r="A43" s="207" t="b">
        <v>0</v>
      </c>
      <c r="B43" s="616" t="b">
        <v>0</v>
      </c>
      <c r="C43" s="126" t="str">
        <f>HYPERLINK("http://www.photozone.de/sonyalphaff/865-zeiss35f28ff","Sony ZA 2.8/35")</f>
        <v>Sony ZA 2.8/35</v>
      </c>
      <c r="D43" s="60">
        <v>120</v>
      </c>
      <c r="E43" s="62">
        <v>35</v>
      </c>
      <c r="F43" s="64">
        <v>2.8</v>
      </c>
      <c r="G43" s="194">
        <v>62</v>
      </c>
      <c r="H43" s="195">
        <v>37</v>
      </c>
      <c r="I43" s="74" t="s">
        <v>36</v>
      </c>
      <c r="J43" s="72" t="s">
        <v>124</v>
      </c>
      <c r="K43" s="74">
        <v>0.12</v>
      </c>
      <c r="L43" s="84">
        <v>35</v>
      </c>
      <c r="M43" s="70" t="s">
        <v>27</v>
      </c>
      <c r="N43" s="74">
        <v>9</v>
      </c>
      <c r="O43" s="112">
        <v>43592</v>
      </c>
      <c r="P43" s="74" t="s">
        <v>41</v>
      </c>
      <c r="Q43" s="88">
        <v>41487</v>
      </c>
      <c r="R43" s="76">
        <v>798</v>
      </c>
      <c r="S43" s="76">
        <v>410</v>
      </c>
      <c r="T43" s="79" t="str">
        <f>HYPERLINK("https://amzn.to/2yvhL24","link*")</f>
        <v>link*</v>
      </c>
      <c r="U43" s="79" t="str">
        <f>HYPERLINK("https://www.bhphotovideo.com/c/product/1008123-REG/sony_sel35f28z_sonnar_t_fe_35mm.html/BI/19619/KBID/12129/DFF/d10-v21-t1-x466840/SID/EZ","link*")</f>
        <v>link*</v>
      </c>
      <c r="V43" s="113" t="s">
        <v>51</v>
      </c>
      <c r="W43" s="79" t="e">
        <f>HYPERLINK("http://rover.ebay.com/rover/1/711-53200-19255-0/1?icep_ff3=9&amp;pub=5575076376&amp;toolid=10001&amp;campid=5338573609&amp;customid=&amp;icep_uq=sony+35+2.8+&amp;icep_sellerId=&amp;icep_ex_kw=&amp;icep_sortBy=12&amp;icep_catId=3323&amp;icep_minPrice=&amp;icep_maxPrice=&amp;ipn=psmain&amp;icep_vectorid=2294"&amp;"66&amp;kwid=902099&amp;mtid=824&amp;kw=lg","link*")</f>
        <v>#VALUE!</v>
      </c>
    </row>
    <row r="44" spans="1:24" ht="13">
      <c r="A44" s="117" t="b">
        <v>0</v>
      </c>
      <c r="B44" s="615" t="b">
        <v>0</v>
      </c>
      <c r="C44" s="120" t="s">
        <v>158</v>
      </c>
      <c r="D44" s="21">
        <v>86</v>
      </c>
      <c r="E44" s="23">
        <v>35</v>
      </c>
      <c r="F44" s="25">
        <v>2.8</v>
      </c>
      <c r="G44" s="221">
        <v>62</v>
      </c>
      <c r="H44" s="237">
        <v>33</v>
      </c>
      <c r="I44" s="35" t="s">
        <v>36</v>
      </c>
      <c r="J44" s="33" t="s">
        <v>124</v>
      </c>
      <c r="K44" s="35">
        <v>0.12</v>
      </c>
      <c r="L44" s="37">
        <v>35</v>
      </c>
      <c r="M44" s="39" t="s">
        <v>27</v>
      </c>
      <c r="N44" s="35">
        <v>9</v>
      </c>
      <c r="O44" s="124">
        <v>43623</v>
      </c>
      <c r="P44" s="35" t="s">
        <v>38</v>
      </c>
      <c r="Q44" s="42">
        <v>42917</v>
      </c>
      <c r="R44" s="264">
        <v>399</v>
      </c>
      <c r="S44" s="264">
        <v>210</v>
      </c>
      <c r="T44" s="47" t="str">
        <f>HYPERLINK("https://amzn.to/2MGKrxp","link*")</f>
        <v>link*</v>
      </c>
      <c r="U44" s="47" t="str">
        <f>HYPERLINK("https://www.bhphotovideo.com/c/product/1348365-REG/samyang_syio35af_e_35mm_f2_8_compact_wide.html/BI/19619/KBID/12129/DFF/d10-v21-t1-x832776/SID/EZ","link*")</f>
        <v>link*</v>
      </c>
      <c r="V44" s="97" t="s">
        <v>51</v>
      </c>
      <c r="W44" s="47" t="e">
        <f>HYPERLINK("http://rover.ebay.com/rover/1/711-53200-19255-0/1?icep_ff3=9&amp;pub=5575076376&amp;toolid=10001&amp;campid=5338573609&amp;customid=&amp;icep_uq=samyang+35+2.8+&amp;icep_sellerId=&amp;icep_ex_kw=&amp;icep_sortBy=12&amp;icep_catId=3323&amp;icep_minPrice=&amp;icep_maxPrice=&amp;ipn=psmain&amp;icep_vectorid=2"&amp;"29466&amp;kwid=902099&amp;mtid=824&amp;kw=lg","link*")</f>
        <v>#VALUE!</v>
      </c>
      <c r="X44" s="130"/>
    </row>
    <row r="45" spans="1:24" ht="13">
      <c r="A45" s="117" t="b">
        <v>0</v>
      </c>
      <c r="B45" s="615" t="b">
        <v>0</v>
      </c>
      <c r="C45" s="157" t="str">
        <f>HYPERLINK("https://phillipreeve.net/blog/voigtlander-40mm-f1-2-nokton-aspherical-rolling-review/","Voigtlander 40mm F1.2 Nokton")</f>
        <v>Voigtlander 40mm F1.2 Nokton</v>
      </c>
      <c r="D45" s="50">
        <v>420</v>
      </c>
      <c r="E45" s="68">
        <v>40</v>
      </c>
      <c r="F45" s="265">
        <v>1.2</v>
      </c>
      <c r="G45" s="194">
        <v>70</v>
      </c>
      <c r="H45" s="195">
        <v>59</v>
      </c>
      <c r="I45" s="59" t="s">
        <v>25</v>
      </c>
      <c r="J45" s="57" t="s">
        <v>71</v>
      </c>
      <c r="K45" s="59">
        <v>0.16</v>
      </c>
      <c r="L45" s="71">
        <v>35</v>
      </c>
      <c r="M45" s="73" t="s">
        <v>27</v>
      </c>
      <c r="N45" s="59">
        <v>10</v>
      </c>
      <c r="O45" s="110">
        <v>43624</v>
      </c>
      <c r="P45" s="59" t="s">
        <v>29</v>
      </c>
      <c r="Q45" s="83">
        <v>43040</v>
      </c>
      <c r="R45" s="61">
        <v>1099</v>
      </c>
      <c r="S45" s="61">
        <v>780</v>
      </c>
      <c r="T45" s="69" t="str">
        <f>HYPERLINK("https://amzn.to/2A412DK","link*")</f>
        <v>link*</v>
      </c>
      <c r="U45" s="69" t="str">
        <f>HYPERLINK("https://www.bhphotovideo.com/c/product/1362557-REG/voigtlander_nokton_40mm_f_1_2_aspherical.html/BI/19619/KBID/12129/DFF/d10-v21-t1-x851241/SID/EZ","link*")</f>
        <v>link*</v>
      </c>
      <c r="V45" s="189" t="s">
        <v>51</v>
      </c>
      <c r="W45" s="69" t="e">
        <f>HYPERLINK("http://rover.ebay.com/rover/1/711-53200-19255-0/1?icep_ff3=9&amp;pub=5575076376&amp;toolid=10001&amp;campid=5338573609&amp;customid=&amp;icep_uq=Voigtlander+Sony+40mm+1.2&amp;icep_sellerId=&amp;icep_ex_kw=&amp;icep_sortBy=12&amp;icep_catId=3323&amp;icep_minPrice=&amp;icep_maxPrice=&amp;ipn=psmain&amp;icep_"&amp;"vectorid=229466&amp;kwid=902099&amp;mtid=824&amp;kw=lg","link*")</f>
        <v>#VALUE!</v>
      </c>
    </row>
    <row r="46" spans="1:24" ht="13">
      <c r="A46" s="207" t="b">
        <v>0</v>
      </c>
      <c r="B46" s="616" t="b">
        <v>0</v>
      </c>
      <c r="C46" s="126" t="str">
        <f>HYPERLINK("https://phillipreeve.net/blog/review-sigma-40mm-1-4-art/","Sigma Art 1.4/40")</f>
        <v>Sigma Art 1.4/40</v>
      </c>
      <c r="D46" s="60">
        <v>1265</v>
      </c>
      <c r="E46" s="62">
        <v>40</v>
      </c>
      <c r="F46" s="64">
        <v>1.4</v>
      </c>
      <c r="G46" s="194">
        <v>88</v>
      </c>
      <c r="H46" s="176">
        <v>157</v>
      </c>
      <c r="I46" s="74" t="s">
        <v>36</v>
      </c>
      <c r="J46" s="244" t="s">
        <v>68</v>
      </c>
      <c r="K46" s="74">
        <v>0.15</v>
      </c>
      <c r="L46" s="84">
        <v>40</v>
      </c>
      <c r="M46" s="70" t="s">
        <v>27</v>
      </c>
      <c r="N46" s="74">
        <v>9</v>
      </c>
      <c r="O46" s="112">
        <v>43815</v>
      </c>
      <c r="P46" s="74" t="s">
        <v>47</v>
      </c>
      <c r="Q46" s="88">
        <v>43435</v>
      </c>
      <c r="R46" s="76">
        <v>1399</v>
      </c>
      <c r="S46" s="76" t="s">
        <v>44</v>
      </c>
      <c r="T46" s="79" t="str">
        <f>HYPERLINK("https://amzn.to/2SYXFXq","link*")</f>
        <v>link*</v>
      </c>
      <c r="U46" s="79" t="str">
        <f>HYPERLINK("https://www.bhphotovideo.com/c/product/1436292-REG/sigma_40mm_f_1_4_dg_hsm.html/BI/19619/KBID/12129/DFF/d10-v21-t1-x925196/SID/EZ","link*")</f>
        <v>link*</v>
      </c>
      <c r="V46" s="113" t="s">
        <v>51</v>
      </c>
      <c r="W46" s="79" t="e">
        <f>HYPERLINK("http://rover.ebay.com/rover/1/711-53200-19255-0/1?icep_ff3=9&amp;pub=5575076376&amp;toolid=10001&amp;campid=5338164340&amp;customid=&amp;icep_uq=sigma+40+1.4+art+sony&amp;icep_sellerId=&amp;icep_ex_kw=&amp;icep_sortBy=12&amp;icep_catId=3323&amp;icep_minPrice=&amp;icep_maxPrice=&amp;ipn=psmain&amp;icep_vect"&amp;"orid=229466&amp;kwid=902099&amp;mtid=824&amp;kw=lg","link*")</f>
        <v>#VALUE!</v>
      </c>
      <c r="X46" s="77" t="s">
        <v>48</v>
      </c>
    </row>
    <row r="47" spans="1:24" ht="13">
      <c r="A47" s="117" t="b">
        <v>0</v>
      </c>
      <c r="B47" s="615" t="b">
        <v>0</v>
      </c>
      <c r="C47" s="19" t="str">
        <f>HYPERLINK("https://phillipreeve.net/blog/review-zeiss-batis-2-40-cf/","Zeiss Batis 2/40 CF T*")</f>
        <v>Zeiss Batis 2/40 CF T*</v>
      </c>
      <c r="D47" s="21">
        <v>361</v>
      </c>
      <c r="E47" s="23">
        <v>40</v>
      </c>
      <c r="F47" s="25">
        <v>2</v>
      </c>
      <c r="G47" s="221">
        <v>91</v>
      </c>
      <c r="H47" s="193">
        <v>93</v>
      </c>
      <c r="I47" s="35" t="s">
        <v>36</v>
      </c>
      <c r="J47" s="33" t="s">
        <v>73</v>
      </c>
      <c r="K47" s="266">
        <v>0.3</v>
      </c>
      <c r="L47" s="37">
        <v>24</v>
      </c>
      <c r="M47" s="39" t="s">
        <v>27</v>
      </c>
      <c r="N47" s="35">
        <v>9</v>
      </c>
      <c r="O47" s="124">
        <v>43686</v>
      </c>
      <c r="P47" s="35" t="s">
        <v>87</v>
      </c>
      <c r="Q47" s="42">
        <v>43435</v>
      </c>
      <c r="R47" s="44">
        <v>1299</v>
      </c>
      <c r="S47" s="44">
        <v>950</v>
      </c>
      <c r="T47" s="47" t="str">
        <f>HYPERLINK("https://amzn.to/2LUN0MF","link*")</f>
        <v>link*</v>
      </c>
      <c r="U47" s="47" t="str">
        <f>HYPERLINK("https://www.bhphotovideo.com/c/product/1436738-REG/zeiss_000000_2239_137_batis_40mm_f_2_cf.html/BI/19619/KBID/12129/DFF/d10-v21-t1-x915694/SID/EZ","link*")</f>
        <v>link*</v>
      </c>
      <c r="V47" s="97" t="s">
        <v>51</v>
      </c>
      <c r="W47" s="47" t="e">
        <f>HYPERLINK("http://rover.ebay.com/rover/1/711-53200-19255-0/1?icep_ff3=9&amp;pub=5575076376&amp;toolid=10001&amp;campid=5338164340&amp;customid=&amp;icep_uq=batis+40&amp;icep_sellerId=&amp;icep_ex_kw=&amp;icep_sortBy=12&amp;icep_catId=3323&amp;icep_minPrice=&amp;icep_maxPrice=&amp;ipn=psmain&amp;icep_vectorid=229466&amp;k"&amp;"wid=902099&amp;mtid=824&amp;kw=lg","link*")</f>
        <v>#VALUE!</v>
      </c>
      <c r="X47" s="56" t="s">
        <v>159</v>
      </c>
    </row>
    <row r="48" spans="1:24" ht="13">
      <c r="A48" s="117" t="b">
        <v>0</v>
      </c>
      <c r="B48" s="615" t="b">
        <v>0</v>
      </c>
      <c r="C48" s="66" t="s">
        <v>160</v>
      </c>
      <c r="D48" s="50">
        <v>162</v>
      </c>
      <c r="E48" s="68">
        <v>45</v>
      </c>
      <c r="F48" s="52">
        <v>1.8</v>
      </c>
      <c r="G48" s="194">
        <v>62</v>
      </c>
      <c r="H48" s="176">
        <v>56</v>
      </c>
      <c r="I48" s="59" t="s">
        <v>36</v>
      </c>
      <c r="J48" s="57" t="s">
        <v>124</v>
      </c>
      <c r="K48" s="59">
        <v>0.12</v>
      </c>
      <c r="L48" s="71">
        <v>45</v>
      </c>
      <c r="M48" s="73" t="s">
        <v>27</v>
      </c>
      <c r="N48" s="59">
        <v>9</v>
      </c>
      <c r="O48" s="110">
        <v>43623</v>
      </c>
      <c r="P48" s="59" t="s">
        <v>38</v>
      </c>
      <c r="Q48" s="83">
        <v>43647</v>
      </c>
      <c r="R48" s="267">
        <v>399</v>
      </c>
      <c r="S48" s="267">
        <v>300</v>
      </c>
      <c r="T48" s="69" t="str">
        <f>HYPERLINK("https://amzn.to/2YC6MST","link*")</f>
        <v>link*</v>
      </c>
      <c r="U48" s="69" t="str">
        <f>HYPERLINK("https://www.bhphotovideo.com/c/product/1478738-REG/samyang_af_45mm_f_1_8_fe.html/BI/19619/KBID/12129/DFF/d10-v21-t1-x964329/SID/EZ","link*")</f>
        <v>link*</v>
      </c>
      <c r="V48" s="189" t="s">
        <v>51</v>
      </c>
      <c r="W48" s="69" t="e">
        <f>HYPERLINK("http://rover.ebay.com/rover/1/711-53200-19255-0/1?icep_ff3=9&amp;pub=5575076376&amp;toolid=10001&amp;campid=5338164340&amp;customid=&amp;icep_uq=samyang+45mm+sony&amp;icep_sellerId=&amp;icep_ex_kw=&amp;icep_sortBy=12&amp;icep_catId=3323&amp;icep_minPrice=&amp;icep_maxPrice=&amp;ipn=psmain&amp;icep_vectorid"&amp;"=229466&amp;kwid=902099&amp;mtid=824&amp;kw=lg","link*")</f>
        <v>#VALUE!</v>
      </c>
    </row>
    <row r="49" spans="1:24" ht="13">
      <c r="A49" s="117" t="b">
        <v>0</v>
      </c>
      <c r="B49" s="615" t="b">
        <v>0</v>
      </c>
      <c r="C49" s="120" t="s">
        <v>161</v>
      </c>
      <c r="D49" s="21">
        <v>215</v>
      </c>
      <c r="E49" s="23">
        <v>45</v>
      </c>
      <c r="F49" s="25">
        <v>2.8</v>
      </c>
      <c r="G49" s="221">
        <v>64</v>
      </c>
      <c r="H49" s="237">
        <v>46</v>
      </c>
      <c r="I49" s="35" t="s">
        <v>36</v>
      </c>
      <c r="J49" s="33" t="s">
        <v>147</v>
      </c>
      <c r="K49" s="268">
        <v>0.25</v>
      </c>
      <c r="L49" s="37">
        <v>24</v>
      </c>
      <c r="M49" s="39" t="s">
        <v>27</v>
      </c>
      <c r="N49" s="35">
        <v>7</v>
      </c>
      <c r="O49" s="124">
        <v>43654</v>
      </c>
      <c r="P49" s="35" t="s">
        <v>47</v>
      </c>
      <c r="Q49" s="42">
        <v>43647</v>
      </c>
      <c r="R49" s="44">
        <v>549</v>
      </c>
      <c r="S49" s="44" t="s">
        <v>44</v>
      </c>
      <c r="T49" s="47" t="str">
        <f>HYPERLINK("https://amzn.to/2SYEvAX","link*")</f>
        <v>link*</v>
      </c>
      <c r="U49" s="47" t="str">
        <f>HYPERLINK("https://www.bhphotovideo.com/c/product/1492966-REG/sigma_360965_45mm_f_2_8_dg_dn.html/BI/19619/KBID/12129/DFF/d10-v21-t1-x976020/SID/EZ","link*")</f>
        <v>link*</v>
      </c>
      <c r="V49" s="97" t="s">
        <v>51</v>
      </c>
      <c r="W49" s="47" t="e">
        <f>HYPERLINK("http://rover.ebay.com/rover/1/711-53200-19255-0/1?icep_ff3=9&amp;pub=5575076376&amp;toolid=10001&amp;campid=5338164340&amp;customid=&amp;icep_uq=sigma+45+2.8+sony&amp;icep_sellerId=&amp;icep_ex_kw=&amp;icep_sortBy=12&amp;icep_catId=3323&amp;icep_minPrice=&amp;icep_maxPrice=&amp;ipn=psmain&amp;icep_vectorid"&amp;"=229466&amp;kwid=902099&amp;mtid=824&amp;kw=lg","link*")</f>
        <v>#VALUE!</v>
      </c>
      <c r="X49" s="56" t="s">
        <v>162</v>
      </c>
    </row>
    <row r="50" spans="1:24" ht="13">
      <c r="A50" s="207" t="b">
        <v>0</v>
      </c>
      <c r="B50" s="616" t="b">
        <v>0</v>
      </c>
      <c r="C50" s="157" t="str">
        <f>HYPERLINK("https://phillipreeve.net/blog/review-voigtlander-50mm-1-2-nokton-e/","Voigtlander 50mm F1.2 Nokton")</f>
        <v>Voigtlander 50mm F1.2 Nokton</v>
      </c>
      <c r="D50" s="50">
        <v>440</v>
      </c>
      <c r="E50" s="68">
        <v>50</v>
      </c>
      <c r="F50" s="265">
        <v>1.2</v>
      </c>
      <c r="G50" s="194">
        <v>70</v>
      </c>
      <c r="H50" s="195">
        <v>58</v>
      </c>
      <c r="I50" s="59" t="s">
        <v>25</v>
      </c>
      <c r="J50" s="57" t="s">
        <v>71</v>
      </c>
      <c r="K50" s="59">
        <v>0.15</v>
      </c>
      <c r="L50" s="71">
        <v>45</v>
      </c>
      <c r="M50" s="73" t="s">
        <v>27</v>
      </c>
      <c r="N50" s="59">
        <v>12</v>
      </c>
      <c r="O50" s="110">
        <v>43624</v>
      </c>
      <c r="P50" s="59" t="s">
        <v>29</v>
      </c>
      <c r="Q50" s="83">
        <v>43556</v>
      </c>
      <c r="R50" s="61">
        <v>1099</v>
      </c>
      <c r="S50" s="61" t="s">
        <v>44</v>
      </c>
      <c r="T50" s="69" t="str">
        <f>HYPERLINK("https://amzn.to/2OAfE7N","link*")</f>
        <v>link*</v>
      </c>
      <c r="U50" s="69" t="str">
        <f>HYPERLINK("https://www.bhphotovideo.com/c/product/1433349-REG/voigtlander_ba348a_nokton_50mm_f_1_2_aspherical.html/BI/19619/KBID/12129/DFF/d10-v21-t1-x915623/SID/EZ","link*")</f>
        <v>link*</v>
      </c>
      <c r="V50" s="189" t="s">
        <v>51</v>
      </c>
      <c r="W50" s="69" t="e">
        <f>HYPERLINK("http://rover.ebay.com/rover/1/711-53200-19255-0/1?icep_ff3=9&amp;pub=5575076376&amp;toolid=10001&amp;campid=5338164340&amp;customid=&amp;icep_uq=voigtlander+sony+50+1.2&amp;icep_sellerId=&amp;icep_ex_kw=&amp;icep_sortBy=12&amp;icep_catId=3323&amp;icep_minPrice=&amp;icep_maxPrice=&amp;ipn=psmain&amp;icep_ve"&amp;"ctorid=229466&amp;kwid=902099&amp;mtid=824&amp;kw=lg","link*")</f>
        <v>#VALUE!</v>
      </c>
    </row>
    <row r="51" spans="1:24" ht="13">
      <c r="A51" s="621" t="b">
        <v>0</v>
      </c>
      <c r="B51" s="622" t="b">
        <v>0</v>
      </c>
      <c r="C51" s="58" t="s">
        <v>163</v>
      </c>
      <c r="D51" s="60">
        <v>778</v>
      </c>
      <c r="E51" s="62">
        <v>50</v>
      </c>
      <c r="F51" s="64">
        <v>1.4</v>
      </c>
      <c r="G51" s="194">
        <v>84</v>
      </c>
      <c r="H51" s="195">
        <v>108</v>
      </c>
      <c r="I51" s="74" t="s">
        <v>36</v>
      </c>
      <c r="J51" s="72" t="s">
        <v>64</v>
      </c>
      <c r="K51" s="74">
        <v>0.15</v>
      </c>
      <c r="L51" s="84">
        <v>45</v>
      </c>
      <c r="M51" s="70" t="s">
        <v>27</v>
      </c>
      <c r="N51" s="74">
        <v>11</v>
      </c>
      <c r="O51" s="112">
        <v>43720</v>
      </c>
      <c r="P51" s="74" t="s">
        <v>41</v>
      </c>
      <c r="Q51" s="88">
        <v>42583</v>
      </c>
      <c r="R51" s="76">
        <v>1499</v>
      </c>
      <c r="S51" s="76">
        <v>1000</v>
      </c>
      <c r="T51" s="79" t="str">
        <f>HYPERLINK("https://amzn.to/2K88EL7","link*")</f>
        <v>link*</v>
      </c>
      <c r="U51" s="79" t="str">
        <f>HYPERLINK("https://www.bhphotovideo.com/c/product/1264965-REG/sony_sel50f14z_planar_t_fe_50mm.html/BI/19619/KBID/12129/DFF/d10-v21-t1-x746806/SID/EZ","link*")</f>
        <v>link*</v>
      </c>
      <c r="V51" s="113" t="s">
        <v>51</v>
      </c>
      <c r="W51" s="79" t="e">
        <f>HYPERLINK("http://rover.ebay.com/rover/1/711-53200-19255-0/1?icep_ff3=9&amp;pub=5575076376&amp;toolid=10001&amp;campid=5338164340&amp;customid=&amp;icep_uq=sony+50+1.4+za&amp;icep_sellerId=&amp;icep_ex_kw=&amp;icep_sortBy=12&amp;icep_catId=3323&amp;icep_minPrice=&amp;icep_maxPrice=&amp;ipn=psmain&amp;icep_vectorid=22"&amp;"9466&amp;kwid=902099&amp;mtid=824&amp;kw=lg","link*")</f>
        <v>#VALUE!</v>
      </c>
    </row>
    <row r="52" spans="1:24" ht="13">
      <c r="A52" s="117" t="b">
        <v>0</v>
      </c>
      <c r="B52" s="615" t="b">
        <v>0</v>
      </c>
      <c r="C52" s="58" t="s">
        <v>164</v>
      </c>
      <c r="D52" s="60">
        <v>910</v>
      </c>
      <c r="E52" s="62">
        <v>50</v>
      </c>
      <c r="F52" s="64">
        <v>1.4</v>
      </c>
      <c r="G52" s="194">
        <v>85</v>
      </c>
      <c r="H52" s="232">
        <v>125.9</v>
      </c>
      <c r="I52" s="74" t="s">
        <v>36</v>
      </c>
      <c r="J52" s="72" t="s">
        <v>80</v>
      </c>
      <c r="K52" s="74">
        <v>0.18</v>
      </c>
      <c r="L52" s="84">
        <v>40</v>
      </c>
      <c r="M52" s="70" t="s">
        <v>27</v>
      </c>
      <c r="N52" s="74">
        <v>9</v>
      </c>
      <c r="O52" s="112">
        <v>43690</v>
      </c>
      <c r="P52" s="74" t="s">
        <v>47</v>
      </c>
      <c r="Q52" s="88">
        <v>43221</v>
      </c>
      <c r="R52" s="76">
        <v>949</v>
      </c>
      <c r="S52" s="76">
        <v>650</v>
      </c>
      <c r="T52" s="79" t="str">
        <f>HYPERLINK("https://amzn.to/2K4JmyT","link*")</f>
        <v>link*</v>
      </c>
      <c r="U52" s="79" t="str">
        <f>HYPERLINK("https://www.bhphotovideo.com/c/product/1393493-REG/sigma_50mm_f_1_4_dg_hsm.html/BI/19619/KBID/12129/kw/SI5014SO/DFF/d10-v2-t1-xSI5014SO","link*")</f>
        <v>link*</v>
      </c>
      <c r="V52" s="79" t="str">
        <f>HYPERLINK("https://amzn.to/2Wpdoz5","link*")</f>
        <v>link*</v>
      </c>
      <c r="W52" s="79" t="e">
        <f>HYPERLINK("http://rover.ebay.com/rover/1/711-53200-19255-0/1?icep_ff3=9&amp;pub=5575076376&amp;toolid=10001&amp;campid=5338164340&amp;customid=&amp;icep_uq=sigma+sony+art+50+1.4&amp;icep_sellerId=&amp;icep_ex_kw=&amp;icep_sortBy=12&amp;icep_catId=3323&amp;icep_minPrice=&amp;icep_maxPrice=&amp;ipn=psmain&amp;icep_vect"&amp;"orid=229466&amp;kwid=902099&amp;mtid=824&amp;kw=lg","link*")</f>
        <v>#VALUE!</v>
      </c>
      <c r="X52" s="77" t="s">
        <v>48</v>
      </c>
    </row>
    <row r="53" spans="1:24" ht="13">
      <c r="A53" s="207" t="b">
        <v>0</v>
      </c>
      <c r="B53" s="616" t="b">
        <v>0</v>
      </c>
      <c r="C53" s="58" t="s">
        <v>165</v>
      </c>
      <c r="D53" s="60">
        <v>585</v>
      </c>
      <c r="E53" s="62">
        <v>50</v>
      </c>
      <c r="F53" s="64">
        <v>1.4</v>
      </c>
      <c r="G53" s="194">
        <v>74</v>
      </c>
      <c r="H53" s="195">
        <v>98</v>
      </c>
      <c r="I53" s="74" t="s">
        <v>36</v>
      </c>
      <c r="J53" s="72" t="s">
        <v>73</v>
      </c>
      <c r="K53" s="74">
        <v>0.15</v>
      </c>
      <c r="L53" s="84">
        <v>45</v>
      </c>
      <c r="M53" s="70" t="s">
        <v>27</v>
      </c>
      <c r="N53" s="74">
        <v>9</v>
      </c>
      <c r="O53" s="112">
        <v>43686</v>
      </c>
      <c r="P53" s="74" t="s">
        <v>38</v>
      </c>
      <c r="Q53" s="88">
        <v>42583</v>
      </c>
      <c r="R53" s="76">
        <v>699</v>
      </c>
      <c r="S53" s="76">
        <v>365</v>
      </c>
      <c r="T53" s="79" t="str">
        <f>HYPERLINK("https://amzn.to/2SY1Pyr","link*")</f>
        <v>link*</v>
      </c>
      <c r="U53" s="79" t="str">
        <f>HYPERLINK("https://www.bhphotovideo.com/c/product/1352862-REG/samyang_syio50af_e_50mm_f_1_4_auto_focus.html/BI/19619/KBID/12129/DFF/d10-v21-t1-x837927/SID/EZ","link*")</f>
        <v>link*</v>
      </c>
      <c r="V53" s="113" t="s">
        <v>51</v>
      </c>
      <c r="W53" s="79" t="e">
        <f>HYPERLINK("http://rover.ebay.com/rover/1/711-53200-19255-0/1?icep_ff3=9&amp;pub=5575076376&amp;toolid=10001&amp;campid=5338164340&amp;customid=&amp;icep_uq=samyang+50+1.4+sony+af&amp;icep_sellerId=&amp;icep_ex_kw=&amp;icep_sortBy=12&amp;icep_catId=3323&amp;icep_minPrice=&amp;icep_maxPrice=&amp;ipn=psmain&amp;icep_vec"&amp;"torid=229466&amp;kwid=902099&amp;mtid=824&amp;kw=lg","link*")</f>
        <v>#VALUE!</v>
      </c>
    </row>
    <row r="54" spans="1:24" ht="13">
      <c r="A54" s="207" t="b">
        <v>0</v>
      </c>
      <c r="B54" s="616" t="b">
        <v>0</v>
      </c>
      <c r="C54" s="126" t="str">
        <f>HYPERLINK("https://phillipreeve.net/blog/review-sony-fe-1-850/","Sony 50mm F1.8")</f>
        <v>Sony 50mm F1.8</v>
      </c>
      <c r="D54" s="60">
        <v>186</v>
      </c>
      <c r="E54" s="62">
        <v>50</v>
      </c>
      <c r="F54" s="64">
        <v>1.8</v>
      </c>
      <c r="G54" s="194">
        <v>69</v>
      </c>
      <c r="H54" s="195">
        <v>60</v>
      </c>
      <c r="I54" s="74" t="s">
        <v>36</v>
      </c>
      <c r="J54" s="72" t="s">
        <v>124</v>
      </c>
      <c r="K54" s="74">
        <v>0.14000000000000001</v>
      </c>
      <c r="L54" s="84">
        <v>45</v>
      </c>
      <c r="M54" s="70" t="s">
        <v>27</v>
      </c>
      <c r="N54" s="74">
        <v>7</v>
      </c>
      <c r="O54" s="112">
        <v>43591</v>
      </c>
      <c r="P54" s="74" t="s">
        <v>41</v>
      </c>
      <c r="Q54" s="88">
        <v>42430</v>
      </c>
      <c r="R54" s="156">
        <v>249</v>
      </c>
      <c r="S54" s="156">
        <v>165</v>
      </c>
      <c r="T54" s="79" t="str">
        <f>HYPERLINK("http://amzn.to/2v2F5Se","link*")</f>
        <v>link*</v>
      </c>
      <c r="U54" s="79" t="str">
        <f>HYPERLINK("https://www.bhphotovideo.com/c/product/1242613-REG/sony_sel50f18f_fe_50mm_f_1_8_lens.html/BI/19619/KBID/12129/kw/SO5018F/DFF/d10-v2-t1-xSO5018F","link*")</f>
        <v>link*</v>
      </c>
      <c r="V54" s="79" t="str">
        <f>HYPERLINK("http://amzn.to/2wyHB25","link*")</f>
        <v>link*</v>
      </c>
      <c r="W54" s="79" t="e">
        <f>HYPERLINK("http://rover.ebay.com/rover/1/711-53200-19255-0/1?icep_ff3=10&amp;pub=5575076376&amp;toolid=10001&amp;campid=5338164340&amp;customid=&amp;icep_uq=sony+50+1.8+fe+-oss&amp;icep_sellerId=&amp;icep_ex_kw=&amp;icep_sortBy=12&amp;icep_catId=&amp;icep_minPrice=&amp;icep_maxPrice=&amp;ipn=psmain&amp;icep_vectorid="&amp;"229466&amp;kwid=902099&amp;mtid=824&amp;kw=lg","link*")</f>
        <v>#VALUE!</v>
      </c>
    </row>
    <row r="55" spans="1:24" ht="13">
      <c r="A55" s="207" t="b">
        <v>0</v>
      </c>
      <c r="B55" s="616" t="b">
        <v>1</v>
      </c>
      <c r="C55" s="163" t="s">
        <v>236</v>
      </c>
      <c r="D55" s="60">
        <v>364</v>
      </c>
      <c r="E55" s="62">
        <v>50</v>
      </c>
      <c r="F55" s="64">
        <v>2</v>
      </c>
      <c r="G55" s="199">
        <v>63</v>
      </c>
      <c r="H55" s="232">
        <v>61</v>
      </c>
      <c r="I55" s="74" t="s">
        <v>25</v>
      </c>
      <c r="J55" s="72" t="s">
        <v>124</v>
      </c>
      <c r="K55" s="74"/>
      <c r="L55" s="84">
        <v>45</v>
      </c>
      <c r="M55" s="70" t="s">
        <v>27</v>
      </c>
      <c r="N55" s="74">
        <v>12</v>
      </c>
      <c r="O55" s="112">
        <v>43687</v>
      </c>
      <c r="P55" s="74" t="s">
        <v>29</v>
      </c>
      <c r="Q55" s="88">
        <v>43831</v>
      </c>
      <c r="R55" s="76"/>
      <c r="S55" s="76"/>
      <c r="T55" s="121"/>
      <c r="U55" s="121"/>
      <c r="V55" s="121"/>
      <c r="W55" s="121"/>
      <c r="X55" s="77"/>
    </row>
    <row r="56" spans="1:24" ht="13">
      <c r="A56" s="117" t="b">
        <v>1</v>
      </c>
      <c r="B56" s="615" t="b">
        <v>0</v>
      </c>
      <c r="C56" s="126" t="str">
        <f>HYPERLINK("https://phillipreeve.net/blog/review-zeiss-loxia-planar-250-t/","Zeiss Loxia 50mm F2")</f>
        <v>Zeiss Loxia 50mm F2</v>
      </c>
      <c r="D56" s="60">
        <v>320</v>
      </c>
      <c r="E56" s="62">
        <v>50</v>
      </c>
      <c r="F56" s="64">
        <v>2</v>
      </c>
      <c r="G56" s="194">
        <v>62</v>
      </c>
      <c r="H56" s="195">
        <v>60</v>
      </c>
      <c r="I56" s="74" t="s">
        <v>25</v>
      </c>
      <c r="J56" s="72" t="s">
        <v>131</v>
      </c>
      <c r="K56" s="74">
        <v>0.15</v>
      </c>
      <c r="L56" s="84">
        <v>45</v>
      </c>
      <c r="M56" s="70" t="s">
        <v>27</v>
      </c>
      <c r="N56" s="74">
        <v>10</v>
      </c>
      <c r="O56" s="112">
        <v>43561</v>
      </c>
      <c r="P56" s="74" t="s">
        <v>87</v>
      </c>
      <c r="Q56" s="88">
        <v>41913</v>
      </c>
      <c r="R56" s="76">
        <v>949</v>
      </c>
      <c r="S56" s="76">
        <v>500</v>
      </c>
      <c r="T56" s="79" t="str">
        <f>HYPERLINK("http://amzn.to/2faVsIu","link*")</f>
        <v>link*</v>
      </c>
      <c r="U56" s="79" t="str">
        <f>HYPERLINK("https://www.bhphotovideo.com/c/product/1080387-REG/zeiss_2103_748_loxia_50mm_f_2_planar.html/BI/19619/KBID/12129/kw/ZE502LFE/DFF/d10-v2-t1-xZE502LFE","link*")</f>
        <v>link*</v>
      </c>
      <c r="V56" s="79" t="str">
        <f>HYPERLINK("http://amzn.to/2wyJAU4","link*")</f>
        <v>link*</v>
      </c>
      <c r="W56" s="79" t="e">
        <f>HYPERLINK("http://rover.ebay.com/rover/1/711-53200-19255-0/1?icep_ff3=9&amp;pub=5575076376&amp;toolid=10001&amp;campid=5338164340&amp;customid=&amp;icep_uq=loxia++50+sony&amp;icep_sellerId=&amp;icep_ex_kw=&amp;icep_sortBy=12&amp;icep_catId=3323&amp;icep_minPrice=&amp;icep_maxPrice=&amp;ipn=psmain&amp;icep_vectorid=22"&amp;"9466&amp;kwid=902099&amp;mtid=824&amp;kw=lg","link*")</f>
        <v>#VALUE!</v>
      </c>
      <c r="X56" s="77" t="s">
        <v>166</v>
      </c>
    </row>
    <row r="57" spans="1:24" ht="13">
      <c r="A57" s="117" t="b">
        <v>0</v>
      </c>
      <c r="B57" s="615" t="b">
        <v>0</v>
      </c>
      <c r="C57" s="19" t="str">
        <f>HYPERLINK("https://phillipreeve.net/blog/rolling-review-sony-fe-2-850-macro/","Sony 50mm F/2.8 Macro")</f>
        <v>Sony 50mm F/2.8 Macro</v>
      </c>
      <c r="D57" s="21">
        <v>236</v>
      </c>
      <c r="E57" s="23">
        <v>50</v>
      </c>
      <c r="F57" s="25">
        <v>2.8</v>
      </c>
      <c r="G57" s="221">
        <v>72</v>
      </c>
      <c r="H57" s="237">
        <v>71</v>
      </c>
      <c r="I57" s="35" t="s">
        <v>36</v>
      </c>
      <c r="J57" s="33" t="s">
        <v>147</v>
      </c>
      <c r="K57" s="270">
        <v>1</v>
      </c>
      <c r="L57" s="37">
        <v>16</v>
      </c>
      <c r="M57" s="39" t="s">
        <v>27</v>
      </c>
      <c r="N57" s="35">
        <v>7</v>
      </c>
      <c r="O57" s="124">
        <v>43654</v>
      </c>
      <c r="P57" s="35" t="s">
        <v>41</v>
      </c>
      <c r="Q57" s="42">
        <v>42614</v>
      </c>
      <c r="R57" s="271">
        <v>499</v>
      </c>
      <c r="S57" s="271">
        <v>350</v>
      </c>
      <c r="T57" s="47" t="str">
        <f>HYPERLINK("http://amzn.to/2v2g0qz","link*")</f>
        <v>link*</v>
      </c>
      <c r="U57" s="47" t="str">
        <f>HYPERLINK("https://www.bhphotovideo.com/c/product/1277527-REG/sony_sel50m28_fe_50mm_f_2_8_macro.html/BI/19619/KBID/12129/kw/SO5028FF/DFF/d10-v2-t1-xSO5028FF","link*")</f>
        <v>link*</v>
      </c>
      <c r="V57" s="47" t="str">
        <f>HYPERLINK("http://amzn.to/2vbknRN","link*")</f>
        <v>link*</v>
      </c>
      <c r="W57" s="47" t="e">
        <f>HYPERLINK("http://rover.ebay.com/rover/1/711-53200-19255-0/1?icep_ff3=10&amp;pub=5575076376&amp;toolid=10001&amp;campid=5338164340&amp;customid=&amp;icep_uq=sony+50+macro+fe&amp;icep_sellerId=&amp;icep_ex_kw=&amp;icep_sortBy=12&amp;icep_catId=&amp;icep_minPrice=&amp;icep_maxPrice=&amp;ipn=psmain&amp;icep_vectorid=229"&amp;"466&amp;kwid=902099&amp;mtid=824&amp;kw=lg","link*")</f>
        <v>#VALUE!</v>
      </c>
      <c r="X57" s="130"/>
    </row>
    <row r="58" spans="1:24" ht="13">
      <c r="A58" s="117" t="b">
        <v>0</v>
      </c>
      <c r="B58" s="615" t="b">
        <v>0</v>
      </c>
      <c r="C58" s="132" t="str">
        <f>HYPERLINK("https://phillipreeve.net/blog/sony-fe-1-855-za-sonnar-t-review/","Sony ZA 55mm F1.8 Sonnar")</f>
        <v>Sony ZA 55mm F1.8 Sonnar</v>
      </c>
      <c r="D58" s="133">
        <v>281</v>
      </c>
      <c r="E58" s="135">
        <v>55</v>
      </c>
      <c r="F58" s="137">
        <v>1.8</v>
      </c>
      <c r="G58" s="221">
        <v>64</v>
      </c>
      <c r="H58" s="237">
        <v>71</v>
      </c>
      <c r="I58" s="146" t="s">
        <v>36</v>
      </c>
      <c r="J58" s="145" t="s">
        <v>124</v>
      </c>
      <c r="K58" s="146">
        <v>0.14000000000000001</v>
      </c>
      <c r="L58" s="147">
        <v>50</v>
      </c>
      <c r="M58" s="143" t="s">
        <v>27</v>
      </c>
      <c r="N58" s="146">
        <v>9</v>
      </c>
      <c r="O58" s="272">
        <v>43592</v>
      </c>
      <c r="P58" s="146" t="s">
        <v>41</v>
      </c>
      <c r="Q58" s="150">
        <v>41548</v>
      </c>
      <c r="R58" s="151">
        <v>999</v>
      </c>
      <c r="S58" s="151">
        <v>625</v>
      </c>
      <c r="T58" s="154" t="str">
        <f>HYPERLINK("https://amzn.to/2ywdgEk","link*")</f>
        <v>link*</v>
      </c>
      <c r="U58" s="154" t="str">
        <f>HYPERLINK("https://www.bhphotovideo.com/c/product/1008124-REG/sony_sel55f18z_sonnar_t_fe_55mm.html/BI/19619/KBID/12129/DFF/d10-v21-t1-x466841/SID/EZ","link*")</f>
        <v>link*</v>
      </c>
      <c r="V58" s="273" t="s">
        <v>51</v>
      </c>
      <c r="W58" s="154" t="e">
        <f>HYPERLINK("http://rover.ebay.com/rover/1/711-53200-19255-0/1?icep_ff3=9&amp;pub=5575076376&amp;toolid=10001&amp;campid=5338164340&amp;customid=&amp;icep_uq=sony+55+1.8&amp;icep_sellerId=&amp;icep_ex_kw=&amp;icep_sortBy=12&amp;icep_catId=3323&amp;icep_minPrice=&amp;icep_maxPrice=&amp;ipn=psmain&amp;icep_vectorid=22946"&amp;"6&amp;kwid=902099&amp;mtid=824&amp;kw=lg","link*")</f>
        <v>#VALUE!</v>
      </c>
      <c r="X58" s="130"/>
    </row>
    <row r="59" spans="1:24" ht="13">
      <c r="A59" s="117" t="b">
        <v>0</v>
      </c>
      <c r="B59" s="615" t="b">
        <v>0</v>
      </c>
      <c r="C59" s="132" t="str">
        <f>HYPERLINK("https://phillipreeve.net/blog/voigtlander-65-f2-apo-macro-review/","Voigtlander Macro 65mm F2 Apo Lanthar")</f>
        <v>Voigtlander Macro 65mm F2 Apo Lanthar</v>
      </c>
      <c r="D59" s="133">
        <v>635</v>
      </c>
      <c r="E59" s="135">
        <v>65</v>
      </c>
      <c r="F59" s="137">
        <v>2</v>
      </c>
      <c r="G59" s="221">
        <v>78</v>
      </c>
      <c r="H59" s="237">
        <v>91</v>
      </c>
      <c r="I59" s="146" t="s">
        <v>25</v>
      </c>
      <c r="J59" s="145" t="s">
        <v>73</v>
      </c>
      <c r="K59" s="274">
        <v>0.5</v>
      </c>
      <c r="L59" s="147">
        <v>31</v>
      </c>
      <c r="M59" s="143" t="s">
        <v>27</v>
      </c>
      <c r="N59" s="146">
        <v>10</v>
      </c>
      <c r="O59" s="272">
        <v>43687</v>
      </c>
      <c r="P59" s="146" t="s">
        <v>29</v>
      </c>
      <c r="Q59" s="275">
        <v>42917</v>
      </c>
      <c r="R59" s="151">
        <v>999</v>
      </c>
      <c r="S59" s="151">
        <v>770</v>
      </c>
      <c r="T59" s="154" t="str">
        <f>HYPERLINK("https://amzn.to/2LU48SI","link*")</f>
        <v>link*</v>
      </c>
      <c r="U59" s="154" t="str">
        <f>HYPERLINK("https://www.bhphotovideo.com/c/product/1350400-REG/voigtlander_macro_apo_lanthar_65mm_f2.html/BI/19619/KBID/12129/DFF/d10-v21-t1-x835677/SID/EZ","link*")</f>
        <v>link*</v>
      </c>
      <c r="V59" s="273" t="s">
        <v>51</v>
      </c>
      <c r="W59" s="154" t="e">
        <f>HYPERLINK("http://rover.ebay.com/rover/1/711-53200-19255-0/1?icep_ff3=9&amp;pub=5575076376&amp;toolid=10001&amp;campid=5338164340&amp;customid=&amp;icep_uq=voigtlander+65+apo+sony&amp;icep_sellerId=&amp;icep_ex_kw=&amp;icep_sortBy=12&amp;icep_catId=3323&amp;icep_minPrice=&amp;icep_maxPrice=&amp;ipn=psmain&amp;icep_ve"&amp;"ctorid=229466&amp;kwid=902099&amp;mtid=824&amp;kw=lg","link*")</f>
        <v>#VALUE!</v>
      </c>
      <c r="X59" s="130"/>
    </row>
    <row r="60" spans="1:24" ht="13">
      <c r="A60" s="117" t="b">
        <v>0</v>
      </c>
      <c r="B60" s="615" t="b">
        <v>0</v>
      </c>
      <c r="C60" s="66" t="s">
        <v>167</v>
      </c>
      <c r="D60" s="50">
        <v>562</v>
      </c>
      <c r="E60" s="68">
        <v>70</v>
      </c>
      <c r="F60" s="52">
        <v>2.8</v>
      </c>
      <c r="G60" s="194">
        <v>71</v>
      </c>
      <c r="H60" s="232">
        <v>132</v>
      </c>
      <c r="I60" s="59" t="s">
        <v>36</v>
      </c>
      <c r="J60" s="57" t="s">
        <v>124</v>
      </c>
      <c r="K60" s="276">
        <v>1</v>
      </c>
      <c r="L60" s="71">
        <v>26</v>
      </c>
      <c r="M60" s="73" t="s">
        <v>27</v>
      </c>
      <c r="N60" s="59">
        <v>9</v>
      </c>
      <c r="O60" s="110">
        <v>43751</v>
      </c>
      <c r="P60" s="59" t="s">
        <v>47</v>
      </c>
      <c r="Q60" s="83">
        <v>43221</v>
      </c>
      <c r="R60" s="277">
        <v>569</v>
      </c>
      <c r="S60" s="277">
        <v>360</v>
      </c>
      <c r="T60" s="69" t="str">
        <f>HYPERLINK("https://amzn.to/2YGO9te","link*")</f>
        <v>link*</v>
      </c>
      <c r="U60" s="69" t="str">
        <f>HYPERLINK("https://www.bhphotovideo.com/c/product/1393483-REG/sigma_70mm_f_2_8_dg_macro.html/BI/19619/KBID/12129/DFF/d10-v21-t1-x895111/SID/EZ","link*")</f>
        <v>link*</v>
      </c>
      <c r="V60" s="189" t="s">
        <v>51</v>
      </c>
      <c r="W60" s="69" t="e">
        <f>HYPERLINK("http://rover.ebay.com/rover/1/711-53200-19255-0/1?icep_ff3=9&amp;pub=5575076376&amp;toolid=10001&amp;campid=5338164340&amp;customid=&amp;icep_uq=sigma+70+2.8+macro+sony&amp;icep_sellerId=&amp;icep_ex_kw=&amp;icep_sortBy=12&amp;icep_catId=3323&amp;icep_minPrice=&amp;icep_maxPrice=&amp;ipn=psmain&amp;icep_ve"&amp;"ctorid=229466&amp;kwid=902099&amp;mtid=824&amp;kw=lg","link*")</f>
        <v>#VALUE!</v>
      </c>
      <c r="X60" s="77" t="s">
        <v>48</v>
      </c>
    </row>
    <row r="61" spans="1:24" ht="13">
      <c r="A61" s="207" t="b">
        <v>0</v>
      </c>
      <c r="B61" s="616" t="b">
        <v>0</v>
      </c>
      <c r="C61" s="58" t="s">
        <v>168</v>
      </c>
      <c r="D61" s="60">
        <v>1480</v>
      </c>
      <c r="E61" s="62">
        <v>70</v>
      </c>
      <c r="F61" s="64">
        <v>2.8</v>
      </c>
      <c r="G61" s="194">
        <v>88</v>
      </c>
      <c r="H61" s="195">
        <v>200</v>
      </c>
      <c r="I61" s="74" t="s">
        <v>36</v>
      </c>
      <c r="J61" s="72" t="s">
        <v>80</v>
      </c>
      <c r="K61" s="239">
        <v>0.25</v>
      </c>
      <c r="L61" s="84">
        <v>96</v>
      </c>
      <c r="M61" s="134" t="s">
        <v>66</v>
      </c>
      <c r="N61" s="74">
        <v>11</v>
      </c>
      <c r="O61" s="115" t="s">
        <v>169</v>
      </c>
      <c r="P61" s="74" t="s">
        <v>41</v>
      </c>
      <c r="Q61" s="88">
        <v>42401</v>
      </c>
      <c r="R61" s="76">
        <v>2599</v>
      </c>
      <c r="S61" s="76">
        <v>2150</v>
      </c>
      <c r="T61" s="79" t="str">
        <f>HYPERLINK("https://amzn.to/2KbaJGn","link*")</f>
        <v>link*</v>
      </c>
      <c r="U61" s="79" t="str">
        <f>HYPERLINK("https://www.bhphotovideo.com/c/product/1222776-REG/sony_sel70200gm_fe_70_200mm_f_2_8_gm.html/BI/19619/KBID/12129/DFF/d10-v21-t1-x746807/SID/EZ","link*")</f>
        <v>link*</v>
      </c>
      <c r="V61" s="113" t="s">
        <v>51</v>
      </c>
      <c r="W61" s="79" t="e">
        <f>HYPERLINK("http://rover.ebay.com/rover/1/711-53200-19255-0/1?icep_ff3=9&amp;pub=5575076376&amp;toolid=10001&amp;campid=5338164340&amp;customid=&amp;icep_uq=sony+gm+70-200&amp;icep_sellerId=&amp;icep_ex_kw=&amp;icep_sortBy=12&amp;icep_catId=3323&amp;icep_minPrice=&amp;icep_maxPrice=&amp;ipn=psmain&amp;icep_vectorid=22"&amp;"9466&amp;kwid=902099&amp;mtid=824&amp;kw=lg","link*")</f>
        <v>#VALUE!</v>
      </c>
    </row>
    <row r="62" spans="1:24" ht="13">
      <c r="A62" s="207" t="b">
        <v>0</v>
      </c>
      <c r="B62" s="616" t="b">
        <v>0</v>
      </c>
      <c r="C62" s="58" t="s">
        <v>170</v>
      </c>
      <c r="D62" s="60">
        <v>854</v>
      </c>
      <c r="E62" s="62">
        <v>70</v>
      </c>
      <c r="F62" s="64" t="s">
        <v>171</v>
      </c>
      <c r="G62" s="194">
        <v>84</v>
      </c>
      <c r="H62" s="195">
        <v>144</v>
      </c>
      <c r="I62" s="74" t="s">
        <v>36</v>
      </c>
      <c r="J62" s="72" t="s">
        <v>64</v>
      </c>
      <c r="K62" s="201">
        <v>0.31</v>
      </c>
      <c r="L62" s="84">
        <v>90</v>
      </c>
      <c r="M62" s="134" t="s">
        <v>66</v>
      </c>
      <c r="N62" s="74">
        <v>9</v>
      </c>
      <c r="O62" s="115" t="s">
        <v>72</v>
      </c>
      <c r="P62" s="74" t="s">
        <v>41</v>
      </c>
      <c r="Q62" s="88">
        <v>42430</v>
      </c>
      <c r="R62" s="76">
        <v>1198</v>
      </c>
      <c r="S62" s="76">
        <v>900</v>
      </c>
      <c r="T62" s="79" t="str">
        <f>HYPERLINK("https://amzn.to/2SVN1Ao","link*")</f>
        <v>link*</v>
      </c>
      <c r="U62" s="79" t="str">
        <f>HYPERLINK("https://www.bhphotovideo.com/c/product/1242614-REG/sony_sel70300g_fe_70_300mm_f_4_5_5_6_g.html/BI/19619/KBID/12129/DFF/d10-v21-t1-x722726/SID/EZ","link*")</f>
        <v>link*</v>
      </c>
      <c r="V62" s="113" t="s">
        <v>51</v>
      </c>
      <c r="W62" s="79" t="e">
        <f>HYPERLINK("http://rover.ebay.com/rover/1/711-53200-19255-0/1?icep_ff3=9&amp;pub=5575076376&amp;toolid=10001&amp;campid=5338164340&amp;customid=&amp;icep_uq=sony+70-300+g+oss+-ssm&amp;icep_sellerId=&amp;icep_ex_kw=&amp;icep_sortBy=12&amp;icep_catId=3323&amp;icep_minPrice=&amp;icep_maxPrice=&amp;ipn=psmain&amp;icep_vec"&amp;"torid=229466&amp;kwid=902099&amp;mtid=824&amp;kw=lg","link*")</f>
        <v>#VALUE!</v>
      </c>
    </row>
    <row r="63" spans="1:24" ht="13">
      <c r="A63" s="207" t="b">
        <v>0</v>
      </c>
      <c r="B63" s="616" t="b">
        <v>0</v>
      </c>
      <c r="C63" s="19" t="str">
        <f>HYPERLINK("https://phillipreeve.net/blog/review-sony-fe-470-200-g-oss/https://phillipreeve.net/blog/review-sony-fe-470-200-g-oss/","Sony G 4/70-200 OSS")</f>
        <v>Sony G 4/70-200 OSS</v>
      </c>
      <c r="D63" s="21">
        <v>840</v>
      </c>
      <c r="E63" s="23">
        <v>70</v>
      </c>
      <c r="F63" s="25">
        <v>4</v>
      </c>
      <c r="G63" s="221">
        <v>80</v>
      </c>
      <c r="H63" s="237">
        <v>175</v>
      </c>
      <c r="I63" s="35" t="s">
        <v>36</v>
      </c>
      <c r="J63" s="33" t="s">
        <v>64</v>
      </c>
      <c r="K63" s="35">
        <v>0.18</v>
      </c>
      <c r="L63" s="37">
        <v>100</v>
      </c>
      <c r="M63" s="238" t="s">
        <v>66</v>
      </c>
      <c r="N63" s="35">
        <v>9</v>
      </c>
      <c r="O63" s="280" t="s">
        <v>173</v>
      </c>
      <c r="P63" s="35" t="s">
        <v>41</v>
      </c>
      <c r="Q63" s="42">
        <v>41548</v>
      </c>
      <c r="R63" s="44">
        <v>1498</v>
      </c>
      <c r="S63" s="44">
        <v>980</v>
      </c>
      <c r="T63" s="47" t="str">
        <f>HYPERLINK("http://amzn.to/2fbeX3x","link*")</f>
        <v>link*</v>
      </c>
      <c r="U63" s="47" t="str">
        <f>HYPERLINK("https://www.bhphotovideo.com/c/product/1380865-REG/sony_fe_70_200mm_f_4_g.html/BI/19619/KBID/12129/kw/SO702004F/DFF/d10-v2-t1-xSO702004F","link*")</f>
        <v>link*</v>
      </c>
      <c r="V63" s="47" t="str">
        <f>HYPERLINK("http://amzn.to/2vbFQKj","link*")</f>
        <v>link*</v>
      </c>
      <c r="W63" s="47" t="e">
        <f>HYPERLINK("http://rover.ebay.com/rover/1/711-53200-19255-0/1?icep_ff3=10&amp;pub=5575076376&amp;toolid=10001&amp;campid=5338164340&amp;customid=&amp;icep_uq=sony+70-200+g+4&amp;icep_sellerId=&amp;icep_ex_kw=&amp;icep_sortBy=12&amp;icep_catId=&amp;icep_minPrice=&amp;icep_maxPrice=&amp;ipn=psmain&amp;icep_vectorid=2294"&amp;"66&amp;kwid=902099&amp;mtid=824&amp;kw=lg","link*")</f>
        <v>#VALUE!</v>
      </c>
      <c r="X63" s="130"/>
    </row>
    <row r="64" spans="1:24" ht="13">
      <c r="A64" s="117" t="b">
        <v>0</v>
      </c>
      <c r="B64" s="615" t="b">
        <v>0</v>
      </c>
      <c r="C64" s="157" t="str">
        <f>HYPERLINK("https://phillipreeve.net/blog/review-sony-fe-85mm-1-4-gm/","Sony GM 1.4/85")</f>
        <v>Sony GM 1.4/85</v>
      </c>
      <c r="D64" s="50">
        <v>854</v>
      </c>
      <c r="E64" s="68">
        <v>85</v>
      </c>
      <c r="F64" s="52">
        <v>1.4</v>
      </c>
      <c r="G64" s="194">
        <v>84</v>
      </c>
      <c r="H64" s="195">
        <v>108</v>
      </c>
      <c r="I64" s="59" t="s">
        <v>36</v>
      </c>
      <c r="J64" s="57" t="s">
        <v>80</v>
      </c>
      <c r="K64" s="59">
        <v>0.12</v>
      </c>
      <c r="L64" s="71">
        <v>80</v>
      </c>
      <c r="M64" s="73" t="s">
        <v>27</v>
      </c>
      <c r="N64" s="59">
        <v>11</v>
      </c>
      <c r="O64" s="110">
        <v>43688</v>
      </c>
      <c r="P64" s="59" t="s">
        <v>41</v>
      </c>
      <c r="Q64" s="83">
        <v>42401</v>
      </c>
      <c r="R64" s="61">
        <v>1799</v>
      </c>
      <c r="S64" s="61">
        <v>1150</v>
      </c>
      <c r="T64" s="69" t="str">
        <f>HYPERLINK("https://amzn.to/2SZeKAh","link*")</f>
        <v>link*</v>
      </c>
      <c r="U64" s="69" t="str">
        <f>HYPERLINK("https://www.bhphotovideo.com/c/product/1222775-REG/sony_sel85f14gm_fe_85mm_f_1_4_gm.html/BI/19619/KBID/12129/DFF/d10-v21-t1-x707644/SID/EZ","link*")</f>
        <v>link*</v>
      </c>
      <c r="V64" s="189" t="s">
        <v>51</v>
      </c>
      <c r="W64" s="69" t="e">
        <f>HYPERLINK("http://rover.ebay.com/rover/1/711-53200-19255-0/1?icep_ff3=9&amp;pub=5575076376&amp;toolid=10001&amp;campid=5338164340&amp;customid=&amp;icep_uq=sony+gm+85+1.4&amp;icep_sellerId=&amp;icep_ex_kw=&amp;icep_sortBy=12&amp;icep_catId=3323&amp;icep_minPrice=&amp;icep_maxPrice=&amp;ipn=psmain&amp;icep_vectorid=22"&amp;"9466&amp;kwid=902099&amp;mtid=824&amp;kw=lg","link*")</f>
        <v>#VALUE!</v>
      </c>
    </row>
    <row r="65" spans="1:24" ht="13">
      <c r="A65" s="117" t="b">
        <v>0</v>
      </c>
      <c r="B65" s="615" t="b">
        <v>0</v>
      </c>
      <c r="C65" s="58" t="s">
        <v>174</v>
      </c>
      <c r="D65" s="60">
        <v>1245</v>
      </c>
      <c r="E65" s="62">
        <v>85</v>
      </c>
      <c r="F65" s="64">
        <v>1.4</v>
      </c>
      <c r="G65" s="194">
        <v>95</v>
      </c>
      <c r="H65" s="195">
        <v>152</v>
      </c>
      <c r="I65" s="74" t="s">
        <v>36</v>
      </c>
      <c r="J65" s="269" t="s">
        <v>175</v>
      </c>
      <c r="K65" s="74">
        <v>0.12</v>
      </c>
      <c r="L65" s="84">
        <v>85</v>
      </c>
      <c r="M65" s="70" t="s">
        <v>27</v>
      </c>
      <c r="N65" s="74">
        <v>9</v>
      </c>
      <c r="O65" s="112">
        <v>43724</v>
      </c>
      <c r="P65" s="74" t="s">
        <v>47</v>
      </c>
      <c r="Q65" s="88">
        <v>43221</v>
      </c>
      <c r="R65" s="76">
        <v>1199</v>
      </c>
      <c r="S65" s="76">
        <v>750</v>
      </c>
      <c r="T65" s="79" t="str">
        <f>HYPERLINK("https://amzn.to/2MBd68k","link*")</f>
        <v>link*</v>
      </c>
      <c r="U65" s="79" t="str">
        <f>HYPERLINK("https://www.bhphotovideo.com/c/product/1393494-REG/sigma_85mm_f_1_4_dg_hsm.html/BI/19619/KBID/12129/kw/SI8514SO/DFF/d10-v2-t1-xSI8514SO","link*")</f>
        <v>link*</v>
      </c>
      <c r="V65" s="79" t="str">
        <f>HYPERLINK("https://amzn.to/2Wto6JH","link*")</f>
        <v>link*</v>
      </c>
      <c r="W65" s="79" t="e">
        <f>HYPERLINK("http://rover.ebay.com/rover/1/711-53200-19255-0/1?icep_ff3=9&amp;pub=5575076376&amp;toolid=10001&amp;campid=5338164340&amp;customid=&amp;icep_uq=sigma+85+1.4+sony&amp;icep_sellerId=&amp;icep_ex_kw=&amp;icep_sortBy=12&amp;icep_catId=3323&amp;icep_minPrice=&amp;icep_maxPrice=&amp;ipn=psmain&amp;icep_vectorid"&amp;"=229466&amp;kwid=902099&amp;mtid=824&amp;kw=lg","link*")</f>
        <v>#VALUE!</v>
      </c>
      <c r="X65" s="77" t="s">
        <v>48</v>
      </c>
    </row>
    <row r="66" spans="1:24" ht="13">
      <c r="A66" s="207" t="b">
        <v>0</v>
      </c>
      <c r="B66" s="616" t="b">
        <v>0</v>
      </c>
      <c r="C66" s="58" t="s">
        <v>176</v>
      </c>
      <c r="D66" s="60">
        <v>568</v>
      </c>
      <c r="E66" s="62">
        <v>85</v>
      </c>
      <c r="F66" s="64">
        <v>1.4</v>
      </c>
      <c r="G66" s="194">
        <v>88</v>
      </c>
      <c r="H66" s="195">
        <v>100</v>
      </c>
      <c r="I66" s="74" t="s">
        <v>36</v>
      </c>
      <c r="J66" s="72" t="s">
        <v>80</v>
      </c>
      <c r="K66" s="74">
        <v>0.11</v>
      </c>
      <c r="L66" s="84">
        <v>90</v>
      </c>
      <c r="M66" s="70" t="s">
        <v>27</v>
      </c>
      <c r="N66" s="74">
        <v>9</v>
      </c>
      <c r="O66" s="112">
        <v>43688</v>
      </c>
      <c r="P66" s="74" t="s">
        <v>38</v>
      </c>
      <c r="Q66" s="88">
        <v>43586</v>
      </c>
      <c r="R66" s="156">
        <v>699</v>
      </c>
      <c r="S66" s="76" t="s">
        <v>44</v>
      </c>
      <c r="T66" s="79" t="str">
        <f>HYPERLINK("https://amzn.to/2T0yJ1A","link*")</f>
        <v>link*</v>
      </c>
      <c r="U66" s="79" t="str">
        <f>HYPERLINK("https://www.bhphotovideo.com/c/product/1470654-REG/samyang_syio85af_e_af_85mm_f_1_4_lens.html/BI/19619/KBID/12129/DFF/d10-v21-t1-x955078/SID/EZ","link*")</f>
        <v>link*</v>
      </c>
      <c r="V66" s="113" t="s">
        <v>51</v>
      </c>
      <c r="W66" s="79" t="e">
        <f>HYPERLINK("http://rover.ebay.com/rover/1/711-53200-19255-0/1?icep_ff3=9&amp;pub=5575076376&amp;toolid=10001&amp;campid=5338164340&amp;customid=&amp;icep_uq=samyang+85+1.4+sony+af&amp;icep_sellerId=&amp;icep_ex_kw=&amp;icep_sortBy=12&amp;icep_catId=3323&amp;icep_minPrice=&amp;icep_maxPrice=&amp;ipn=psmain&amp;icep_vec"&amp;"torid=229466&amp;kwid=902099&amp;mtid=824&amp;kw=lg","link*")</f>
        <v>#VALUE!</v>
      </c>
    </row>
    <row r="67" spans="1:24" ht="13">
      <c r="A67" s="207" t="b">
        <v>0</v>
      </c>
      <c r="B67" s="616" t="b">
        <v>0</v>
      </c>
      <c r="C67" s="126" t="str">
        <f>HYPERLINK("https://phillipreeve.net/blog/review-sony-fe-85-mm-1-8/","Sony FE 85mm f/1.8")</f>
        <v>Sony FE 85mm f/1.8</v>
      </c>
      <c r="D67" s="60">
        <v>371</v>
      </c>
      <c r="E67" s="62">
        <v>85</v>
      </c>
      <c r="F67" s="64">
        <v>1.8</v>
      </c>
      <c r="G67" s="194">
        <v>77</v>
      </c>
      <c r="H67" s="195">
        <v>82</v>
      </c>
      <c r="I67" s="74" t="s">
        <v>36</v>
      </c>
      <c r="J67" s="72" t="s">
        <v>73</v>
      </c>
      <c r="K67" s="74">
        <v>0.13</v>
      </c>
      <c r="L67" s="84">
        <v>80</v>
      </c>
      <c r="M67" s="70" t="s">
        <v>27</v>
      </c>
      <c r="N67" s="74">
        <v>9</v>
      </c>
      <c r="O67" s="112">
        <v>43686</v>
      </c>
      <c r="P67" s="74" t="s">
        <v>41</v>
      </c>
      <c r="Q67" s="88">
        <v>42767</v>
      </c>
      <c r="R67" s="156">
        <v>599</v>
      </c>
      <c r="S67" s="156">
        <v>470</v>
      </c>
      <c r="T67" s="79" t="str">
        <f>HYPERLINK("https://amzn.to/2YB4RxU","link*")</f>
        <v>link*</v>
      </c>
      <c r="U67" s="79" t="str">
        <f t="shared" ref="U67:U68" si="0">HYPERLINK("https://www.bhphotovideo.com/c/product/1140833-REG/zeiss_2103_751_85mm_f_1_8_batis_short.html/BI/19619/KBID/12129/DFF/d10-v21-t1-x627139/SID/EZ","link*")</f>
        <v>link*</v>
      </c>
      <c r="V67" s="113" t="s">
        <v>51</v>
      </c>
      <c r="W67" s="79" t="e">
        <f>HYPERLINK("http://rover.ebay.com/rover/1/711-53200-19255-0/1?icep_ff3=9&amp;pub=5575076376&amp;toolid=10001&amp;campid=5338164340&amp;customid=&amp;icep_uq=sony+85mm+1.8+fe&amp;icep_sellerId=&amp;icep_ex_kw=&amp;icep_sortBy=12&amp;icep_catId=3323&amp;icep_minPrice=&amp;icep_maxPrice=&amp;ipn=psmain&amp;icep_vectorid="&amp;"229466&amp;kwid=902099&amp;mtid=824&amp;kw=lg","link*")</f>
        <v>#VALUE!</v>
      </c>
    </row>
    <row r="68" spans="1:24" ht="13">
      <c r="A68" s="117" t="b">
        <v>0</v>
      </c>
      <c r="B68" s="615" t="b">
        <v>0</v>
      </c>
      <c r="C68" s="126" t="str">
        <f>HYPERLINK("https://phillipreeve.net/blog/zeiss-batis-sonnar-t-85mm-f1-8-a-review/","Zeiss Batis 1.8/85")</f>
        <v>Zeiss Batis 1.8/85</v>
      </c>
      <c r="D68" s="60">
        <v>475</v>
      </c>
      <c r="E68" s="62">
        <v>85</v>
      </c>
      <c r="F68" s="64">
        <v>1.8</v>
      </c>
      <c r="G68" s="194">
        <v>92</v>
      </c>
      <c r="H68" s="195">
        <v>81</v>
      </c>
      <c r="I68" s="74" t="s">
        <v>36</v>
      </c>
      <c r="J68" s="72" t="s">
        <v>73</v>
      </c>
      <c r="K68" s="74">
        <v>0.13</v>
      </c>
      <c r="L68" s="84">
        <v>80</v>
      </c>
      <c r="M68" s="134" t="s">
        <v>66</v>
      </c>
      <c r="N68" s="74">
        <v>9</v>
      </c>
      <c r="O68" s="112">
        <v>43688</v>
      </c>
      <c r="P68" s="74" t="s">
        <v>87</v>
      </c>
      <c r="Q68" s="88">
        <v>42125</v>
      </c>
      <c r="R68" s="76">
        <v>1199</v>
      </c>
      <c r="S68" s="76">
        <v>750</v>
      </c>
      <c r="T68" s="79" t="str">
        <f>HYPERLINK("https://amzn.to/2T8oWqt","link*")</f>
        <v>link*</v>
      </c>
      <c r="U68" s="79" t="str">
        <f t="shared" si="0"/>
        <v>link*</v>
      </c>
      <c r="V68" s="113" t="s">
        <v>51</v>
      </c>
      <c r="W68" s="79" t="e">
        <f>HYPERLINK("http://rover.ebay.com/rover/1/711-53200-19255-0/1?icep_ff3=9&amp;pub=5575076376&amp;toolid=10001&amp;campid=5338164340&amp;customid=&amp;icep_uq=batis+85mm+1.8+sony&amp;icep_sellerId=&amp;icep_ex_kw=&amp;icep_sortBy=12&amp;icep_catId=3323&amp;icep_minPrice=&amp;icep_maxPrice=&amp;ipn=psmain&amp;icep_vector"&amp;"id=229466&amp;kwid=902099&amp;mtid=824&amp;kw=lg","link*")</f>
        <v>#VALUE!</v>
      </c>
    </row>
    <row r="69" spans="1:24" ht="13">
      <c r="A69" s="117" t="b">
        <v>0</v>
      </c>
      <c r="B69" s="615" t="b">
        <v>0</v>
      </c>
      <c r="C69" s="58" t="s">
        <v>197</v>
      </c>
      <c r="D69" s="60">
        <v>665</v>
      </c>
      <c r="E69" s="62">
        <v>85</v>
      </c>
      <c r="F69" s="64">
        <v>1.8</v>
      </c>
      <c r="G69" s="194">
        <v>79</v>
      </c>
      <c r="H69" s="195">
        <v>92</v>
      </c>
      <c r="I69" s="74" t="s">
        <v>25</v>
      </c>
      <c r="J69" s="72" t="s">
        <v>64</v>
      </c>
      <c r="K69" s="74">
        <v>0.13</v>
      </c>
      <c r="L69" s="84">
        <v>80</v>
      </c>
      <c r="M69" s="70" t="s">
        <v>27</v>
      </c>
      <c r="N69" s="74">
        <v>9</v>
      </c>
      <c r="O69" s="112">
        <v>43656</v>
      </c>
      <c r="P69" s="74" t="s">
        <v>106</v>
      </c>
      <c r="Q69" s="292">
        <v>43586</v>
      </c>
      <c r="R69" s="76">
        <v>299</v>
      </c>
      <c r="S69" s="76" t="s">
        <v>44</v>
      </c>
      <c r="T69" s="79" t="str">
        <f>HYPERLINK("https://amzn.to/2LVVOBV","link*")</f>
        <v>link*</v>
      </c>
      <c r="U69" s="79" t="str">
        <f>HYPERLINK("https://www.bhphotovideo.com/c/product/1469189-REG/viltrox_pfu_rbmh_85mm_f1_8_e_mount_85mm_f_1_8_for_sony.html/BI/19619/KBID/12129/DFF/d10-v21-t1-x954301/SID/EZ","link*")</f>
        <v>link*</v>
      </c>
      <c r="V69" s="113" t="s">
        <v>51</v>
      </c>
      <c r="W69" s="79" t="e">
        <f>HYPERLINK("http://rover.ebay.com/rover/1/711-53200-19255-0/1?icep_ff3=9&amp;pub=5575076376&amp;toolid=10001&amp;campid=5338164340&amp;customid=&amp;icep_uq=viltrox+85mm+1.8+sony+-stm&amp;icep_sellerId=&amp;icep_ex_kw=&amp;icep_sortBy=12&amp;icep_catId=3323&amp;icep_minPrice=&amp;icep_maxPrice=&amp;ipn=psmain&amp;icep"&amp;"_vectorid=229466&amp;kwid=902099&amp;mtid=824&amp;kw=lg","link*")</f>
        <v>#VALUE!</v>
      </c>
      <c r="X69" s="77" t="s">
        <v>200</v>
      </c>
    </row>
    <row r="70" spans="1:24" ht="13">
      <c r="A70" s="207" t="b">
        <v>0</v>
      </c>
      <c r="B70" s="616" t="b">
        <v>0</v>
      </c>
      <c r="C70" s="126" t="str">
        <f>HYPERLINK("https://phillipreeve.net/blog/review-viltrox-85-mm-f-1-8-stm-af-pfu-rbmh/","Viltrox PFU RBMH 85mm f/1.8 STM")</f>
        <v>Viltrox PFU RBMH 85mm f/1.8 STM</v>
      </c>
      <c r="D70" s="60">
        <v>636</v>
      </c>
      <c r="E70" s="62">
        <v>85</v>
      </c>
      <c r="F70" s="64">
        <v>1.8</v>
      </c>
      <c r="G70" s="194">
        <v>79</v>
      </c>
      <c r="H70" s="195">
        <v>92</v>
      </c>
      <c r="I70" s="74" t="s">
        <v>36</v>
      </c>
      <c r="J70" s="72" t="s">
        <v>64</v>
      </c>
      <c r="K70" s="74">
        <v>0.13</v>
      </c>
      <c r="L70" s="84">
        <v>80</v>
      </c>
      <c r="M70" s="70" t="s">
        <v>27</v>
      </c>
      <c r="N70" s="74">
        <v>9</v>
      </c>
      <c r="O70" s="112">
        <v>43656</v>
      </c>
      <c r="P70" s="74" t="s">
        <v>106</v>
      </c>
      <c r="Q70" s="88">
        <v>43586</v>
      </c>
      <c r="R70" s="76">
        <v>379</v>
      </c>
      <c r="S70" s="76" t="s">
        <v>44</v>
      </c>
      <c r="T70" s="79" t="str">
        <f>HYPERLINK("https://amzn.to/2SZfd5v","link*")</f>
        <v>link*</v>
      </c>
      <c r="U70" s="79" t="str">
        <f>HYPERLINK("https://www.bhphotovideo.com/c/product/1470585-REG/viltrox_pfu_rbmh_85mm_f1_8_stm_e_mount_85mm_f_1_8_lens_for.html/BI/19619/KBID/12129/DFF/d10-v21-t1-x955239/SID/EZ","link*")</f>
        <v>link*</v>
      </c>
      <c r="V70" s="113" t="s">
        <v>51</v>
      </c>
      <c r="W70" s="79" t="e">
        <f>HYPERLINK("http://rover.ebay.com/rover/1/711-53200-19255-0/1?icep_ff3=9&amp;pub=5575076376&amp;toolid=10001&amp;campid=5338164340&amp;customid=&amp;icep_uq=viltrox+85mm+1.8+sony+stm&amp;icep_sellerId=&amp;icep_ex_kw=&amp;icep_sortBy=12&amp;icep_catId=3323&amp;icep_minPrice=&amp;icep_maxPrice=&amp;ipn=psmain&amp;icep_"&amp;"vectorid=229466&amp;kwid=902099&amp;mtid=824&amp;kw=lg","link*")</f>
        <v>#VALUE!</v>
      </c>
    </row>
    <row r="71" spans="1:24" ht="13">
      <c r="A71" s="207" t="b">
        <v>0</v>
      </c>
      <c r="B71" s="616" t="b">
        <v>0</v>
      </c>
      <c r="C71" s="19" t="str">
        <f>HYPERLINK("https://phillipreeve.net/blog/rolling-review-zeiss-loxia-85mm-2-4/","Zeiss Loxia 2.4/85")</f>
        <v>Zeiss Loxia 2.4/85</v>
      </c>
      <c r="D71" s="21">
        <v>594</v>
      </c>
      <c r="E71" s="23">
        <v>85</v>
      </c>
      <c r="F71" s="25">
        <v>2.4</v>
      </c>
      <c r="G71" s="221">
        <v>63</v>
      </c>
      <c r="H71" s="237">
        <v>95</v>
      </c>
      <c r="I71" s="35" t="s">
        <v>25</v>
      </c>
      <c r="J71" s="33" t="s">
        <v>131</v>
      </c>
      <c r="K71" s="35">
        <v>0.14000000000000001</v>
      </c>
      <c r="L71" s="37">
        <v>80</v>
      </c>
      <c r="M71" s="39" t="s">
        <v>27</v>
      </c>
      <c r="N71" s="35">
        <v>10</v>
      </c>
      <c r="O71" s="124">
        <v>43653</v>
      </c>
      <c r="P71" s="35" t="s">
        <v>87</v>
      </c>
      <c r="Q71" s="42">
        <v>42644</v>
      </c>
      <c r="R71" s="44">
        <v>1399</v>
      </c>
      <c r="S71" s="44">
        <v>850</v>
      </c>
      <c r="T71" s="47" t="str">
        <f>HYPERLINK("https://amzn.to/2SY4PLd","link*")</f>
        <v>link*</v>
      </c>
      <c r="U71" s="47" t="str">
        <f>HYPERLINK("https://www.bhphotovideo.com/c/product/1282150-REG/zeiss_2162_636_loxia_85mm_f_2_4_lens.html/BI/19619/KBID/12129/DFF/d10-v21-t1-x762761/SID/EZ","link*")</f>
        <v>link*</v>
      </c>
      <c r="V71" s="97" t="s">
        <v>51</v>
      </c>
      <c r="W71" s="47" t="e">
        <f>HYPERLINK("http://rover.ebay.com/rover/1/711-53200-19255-0/1?icep_ff3=9&amp;pub=5575076376&amp;toolid=10001&amp;campid=5338164340&amp;customid=&amp;icep_uq=loxia+85+sony&amp;icep_sellerId=&amp;icep_ex_kw=&amp;icep_sortBy=12&amp;icep_catId=3323&amp;icep_minPrice=&amp;icep_maxPrice=&amp;ipn=psmain&amp;icep_vectorid=229"&amp;"466&amp;kwid=902099&amp;mtid=824&amp;kw=lg","link*")</f>
        <v>#VALUE!</v>
      </c>
      <c r="X71" s="130"/>
    </row>
    <row r="72" spans="1:24" ht="13">
      <c r="A72" s="117" t="b">
        <v>0</v>
      </c>
      <c r="B72" s="615" t="b">
        <v>0</v>
      </c>
      <c r="C72" s="132" t="str">
        <f>HYPERLINK("https://phillipreeve.net/blog/review-sony-fe-90mm-f2-8-macro-oss-one-of-sonys-finest/","Sony 2.8/90 G OSS")</f>
        <v>Sony 2.8/90 G OSS</v>
      </c>
      <c r="D72" s="133">
        <v>602</v>
      </c>
      <c r="E72" s="135">
        <v>90</v>
      </c>
      <c r="F72" s="137">
        <v>2.8</v>
      </c>
      <c r="G72" s="221">
        <v>79</v>
      </c>
      <c r="H72" s="237">
        <v>131</v>
      </c>
      <c r="I72" s="146" t="s">
        <v>36</v>
      </c>
      <c r="J72" s="145" t="s">
        <v>101</v>
      </c>
      <c r="K72" s="293">
        <v>1</v>
      </c>
      <c r="L72" s="147">
        <v>28</v>
      </c>
      <c r="M72" s="294" t="s">
        <v>66</v>
      </c>
      <c r="N72" s="146">
        <v>9</v>
      </c>
      <c r="O72" s="272">
        <v>43784</v>
      </c>
      <c r="P72" s="146" t="s">
        <v>41</v>
      </c>
      <c r="Q72" s="150">
        <v>42064</v>
      </c>
      <c r="R72" s="151">
        <v>1099</v>
      </c>
      <c r="S72" s="151">
        <v>830</v>
      </c>
      <c r="T72" s="154" t="str">
        <f>HYPERLINK("http://amzn.to/2fbeX3x","link*")</f>
        <v>link*</v>
      </c>
      <c r="U72" s="154" t="str">
        <f>HYPERLINK("https://www.bhphotovideo.com/c/product/1380868-REG/sony_fe_90mm_f_2_8_macro.html/BI/19619/KBID/12129/kw/SO9028F/DFF/d10-v2-t1-xSO9028F","link*")</f>
        <v>link*</v>
      </c>
      <c r="V72" s="154" t="str">
        <f>HYPERLINK("http://amzn.to/2vvvHcw","link*")</f>
        <v>link*</v>
      </c>
      <c r="W72" s="154" t="e">
        <f>HYPERLINK("http://rover.ebay.com/rover/1/711-53200-19255-0/1?icep_ff3=10&amp;pub=5575076376&amp;toolid=10001&amp;campid=5338164340&amp;customid=&amp;icep_uq=sony+90+macro+oss&amp;icep_sellerId=&amp;icep_ex_kw=&amp;icep_sortBy=12&amp;icep_catId=&amp;icep_minPrice=&amp;icep_maxPrice=&amp;ipn=psmain&amp;icep_vectorid=22"&amp;"9466&amp;kwid=902099&amp;mtid=824&amp;kw=lg","link*")</f>
        <v>#VALUE!</v>
      </c>
      <c r="X72" s="130"/>
    </row>
    <row r="73" spans="1:24" ht="13">
      <c r="A73" s="117" t="b">
        <v>0</v>
      </c>
      <c r="B73" s="615" t="b">
        <v>0</v>
      </c>
      <c r="C73" s="157" t="str">
        <f>HYPERLINK("https://phillipreeve.net/blog/review-sony-fe-100-f-2-8-stf-gm-oss-lens/","Sony GM 2.8/100 STF OSS")</f>
        <v>Sony GM 2.8/100 STF OSS</v>
      </c>
      <c r="D73" s="50">
        <v>700</v>
      </c>
      <c r="E73" s="68">
        <v>100</v>
      </c>
      <c r="F73" s="52">
        <v>2.8</v>
      </c>
      <c r="G73" s="194">
        <v>85</v>
      </c>
      <c r="H73" s="195">
        <v>118</v>
      </c>
      <c r="I73" s="59" t="s">
        <v>36</v>
      </c>
      <c r="J73" s="57" t="s">
        <v>64</v>
      </c>
      <c r="K73" s="295">
        <v>0.25</v>
      </c>
      <c r="L73" s="71">
        <v>57</v>
      </c>
      <c r="M73" s="158" t="s">
        <v>66</v>
      </c>
      <c r="N73" s="59">
        <v>11</v>
      </c>
      <c r="O73" s="110">
        <v>43752</v>
      </c>
      <c r="P73" s="59" t="s">
        <v>41</v>
      </c>
      <c r="Q73" s="83">
        <v>42767</v>
      </c>
      <c r="R73" s="61">
        <v>1499</v>
      </c>
      <c r="S73" s="61">
        <v>1100</v>
      </c>
      <c r="T73" s="69" t="str">
        <f>HYPERLINK("https://amzn.to/2YD8rn4","link*")</f>
        <v>link*</v>
      </c>
      <c r="U73" s="69" t="str">
        <f>HYPERLINK("https://www.bhphotovideo.com/c/product/1317561-REG/sony_sel100f28gm_fe_100mm_f_2_8_stf.html/BI/19619/KBID/12129/DFF/d10-v21-t1-x795192/SID/EZ","link*")</f>
        <v>link*</v>
      </c>
      <c r="V73" s="189" t="s">
        <v>51</v>
      </c>
      <c r="W73" s="69" t="e">
        <f>HYPERLINK("http://rover.ebay.com/rover/1/711-53200-19255-0/1?icep_ff3=9&amp;pub=5575076376&amp;toolid=10001&amp;campid=5338164340&amp;customid=&amp;icep_uq=sony+gm+stf+100&amp;icep_sellerId=&amp;icep_ex_kw=&amp;icep_sortBy=12&amp;icep_catId=3323&amp;icep_minPrice=&amp;icep_maxPrice=&amp;ipn=psmain&amp;icep_vectorid=2"&amp;"29466&amp;kwid=902099&amp;mtid=824&amp;kw=lg","link*")</f>
        <v>#VALUE!</v>
      </c>
      <c r="X73" s="77" t="s">
        <v>178</v>
      </c>
    </row>
    <row r="74" spans="1:24" ht="13">
      <c r="A74" s="117" t="b">
        <v>0</v>
      </c>
      <c r="B74" s="615" t="b">
        <v>0</v>
      </c>
      <c r="C74" s="126" t="str">
        <f>HYPERLINK("https://phillipreeve.net/blog/review-tokina-firin-100mm-f2-8-fe-macro/","Tokina Firin 2.8/100 Macro")</f>
        <v>Tokina Firin 2.8/100 Macro</v>
      </c>
      <c r="D74" s="60">
        <v>570</v>
      </c>
      <c r="E74" s="62">
        <v>100</v>
      </c>
      <c r="F74" s="64">
        <v>2.8</v>
      </c>
      <c r="G74" s="194">
        <v>74</v>
      </c>
      <c r="H74" s="176">
        <v>123</v>
      </c>
      <c r="I74" s="74" t="s">
        <v>36</v>
      </c>
      <c r="J74" s="72" t="s">
        <v>147</v>
      </c>
      <c r="K74" s="263">
        <v>1</v>
      </c>
      <c r="L74" s="84">
        <v>30</v>
      </c>
      <c r="M74" s="70" t="s">
        <v>27</v>
      </c>
      <c r="N74" s="74">
        <v>9</v>
      </c>
      <c r="O74" s="112">
        <v>43686</v>
      </c>
      <c r="P74" s="74" t="s">
        <v>103</v>
      </c>
      <c r="Q74" s="88">
        <v>43617</v>
      </c>
      <c r="R74" s="184">
        <v>599</v>
      </c>
      <c r="S74" s="184" t="s">
        <v>44</v>
      </c>
      <c r="T74" s="79" t="str">
        <f>HYPERLINK("http://amzn.to/2fbeX3x","link*")</f>
        <v>link*</v>
      </c>
      <c r="U74" s="79" t="str">
        <f>HYPERLINK("https://www.bhphotovideo.com/c/product/1473390-REG/tokina_frn_afm100fxse_firin_100mm_f_2_8_fe.html/BI/19619/KBID/12129/kw/TO100AF/DFF/d10-v2-t1-xTO100AF","link*")</f>
        <v>link*</v>
      </c>
      <c r="V74" s="79" t="e">
        <f>HYPERLINK("https://www.amazon.de/Tokina-FiRIN-Makroobjektiv-Vollformatobjektiv-Mount/dp/B07R1KVZT9/ref=as_li_ss_tl?__mk_de_DE=%C3%85M%C3%85%C5%BD%C3%95%C3%91&amp;crid=27PITEVDHE0QD&amp;keywords=tokina+firin+100mm+f2.8+fe&amp;qid=1559375443&amp;s=ce-de&amp;sprefix=tokina+firin+100,elect"&amp;"ronics,147&amp;sr=1-1&amp;linkCode=sl1&amp;tag=phillipreevede-21&amp;linkId=4c09b31d0be3bd64b2efe254f502e267&amp;language=de_DE","link*")</f>
        <v>#VALUE!</v>
      </c>
      <c r="W74" s="79" t="e">
        <f>HYPERLINK("http://rover.ebay.com/rover/1/711-53200-19255-0/1?icep_ff3=10&amp;pub=5575076376&amp;toolid=10001&amp;campid=5338164340&amp;customid=&amp;icep_uq=tokina+firin+macro&amp;icep_sellerId=&amp;icep_ex_kw=&amp;icep_sortBy=12&amp;icep_catId=&amp;icep_minPrice=&amp;icep_maxPrice=&amp;ipn=psmain&amp;icep_vectorid=2"&amp;"29466&amp;kwid=902099&amp;mtid=824&amp;kw=lg","link*")</f>
        <v>#VALUE!</v>
      </c>
      <c r="X74" s="77" t="s">
        <v>48</v>
      </c>
    </row>
    <row r="75" spans="1:24" ht="13">
      <c r="A75" s="117" t="b">
        <v>0</v>
      </c>
      <c r="B75" s="615" t="b">
        <v>0</v>
      </c>
      <c r="C75" s="120" t="s">
        <v>179</v>
      </c>
      <c r="D75" s="21">
        <v>1395</v>
      </c>
      <c r="E75" s="23">
        <v>100</v>
      </c>
      <c r="F75" s="25" t="s">
        <v>171</v>
      </c>
      <c r="G75" s="221">
        <v>94</v>
      </c>
      <c r="H75" s="193">
        <v>205</v>
      </c>
      <c r="I75" s="35" t="s">
        <v>36</v>
      </c>
      <c r="J75" s="33" t="s">
        <v>80</v>
      </c>
      <c r="K75" s="266">
        <v>0.35</v>
      </c>
      <c r="L75" s="37">
        <v>98</v>
      </c>
      <c r="M75" s="238" t="s">
        <v>66</v>
      </c>
      <c r="N75" s="35">
        <v>9</v>
      </c>
      <c r="O75" s="280" t="s">
        <v>180</v>
      </c>
      <c r="P75" s="35" t="s">
        <v>41</v>
      </c>
      <c r="Q75" s="42">
        <v>42826</v>
      </c>
      <c r="R75" s="44">
        <v>2499</v>
      </c>
      <c r="S75" s="44">
        <v>1950</v>
      </c>
      <c r="T75" s="47" t="str">
        <f>HYPERLINK("https://amzn.to/2SZ0aZO","link*")</f>
        <v>link*</v>
      </c>
      <c r="U75" s="47" t="str">
        <f>HYPERLINK("https://www.bhphotovideo.com/c/product/1333230-REG/sony_sel100400gm_fe_100_400mm_f_4_5_5_6_gm.html/BI/19619/KBID/12129/DFF/d10-v21-t1-x817745/SID/EZ","link*")</f>
        <v>link*</v>
      </c>
      <c r="V75" s="97" t="s">
        <v>51</v>
      </c>
      <c r="W75" s="47" t="e">
        <f>HYPERLINK("http://rover.ebay.com/rover/1/711-53200-19255-0/1?icep_ff3=9&amp;pub=5575076376&amp;toolid=10001&amp;campid=5338164340&amp;customid=&amp;icep_uq=sony+gm+100-400&amp;icep_sellerId=&amp;icep_ex_kw=&amp;icep_sortBy=12&amp;icep_catId=3323&amp;icep_minPrice=&amp;icep_maxPrice=&amp;ipn=psmain&amp;icep_vectorid=2"&amp;"29466&amp;kwid=902099&amp;mtid=824&amp;kw=lg","link*")</f>
        <v>#VALUE!</v>
      </c>
      <c r="X75" s="130"/>
    </row>
    <row r="76" spans="1:24" ht="15.75" customHeight="1">
      <c r="A76" s="207" t="b">
        <v>0</v>
      </c>
      <c r="B76" s="616" t="b">
        <v>0</v>
      </c>
      <c r="C76" s="296" t="s">
        <v>181</v>
      </c>
      <c r="D76" s="133">
        <v>1720</v>
      </c>
      <c r="E76" s="135">
        <v>105</v>
      </c>
      <c r="F76" s="137">
        <v>1.4</v>
      </c>
      <c r="G76" s="221">
        <v>116</v>
      </c>
      <c r="H76" s="297">
        <v>157.5</v>
      </c>
      <c r="I76" s="146" t="s">
        <v>36</v>
      </c>
      <c r="J76" s="298" t="s">
        <v>182</v>
      </c>
      <c r="K76" s="146">
        <v>0.12</v>
      </c>
      <c r="L76" s="147">
        <v>100</v>
      </c>
      <c r="M76" s="143" t="s">
        <v>27</v>
      </c>
      <c r="N76" s="146">
        <v>9</v>
      </c>
      <c r="O76" s="272">
        <v>43816</v>
      </c>
      <c r="P76" s="146" t="s">
        <v>183</v>
      </c>
      <c r="Q76" s="150">
        <v>43221</v>
      </c>
      <c r="R76" s="151">
        <v>1599</v>
      </c>
      <c r="S76" s="151">
        <v>1200</v>
      </c>
      <c r="T76" s="154" t="str">
        <f>HYPERLINK("https://amzn.to/2EWeThZ","link*")</f>
        <v>link*</v>
      </c>
      <c r="U76" s="154" t="str">
        <f>HYPERLINK("https://www.bhphotovideo.com/c/product/1393488-REG/sigma_105mm_f_1_4_dg_hsm.html/BI/19619/KBID/12129/kw/SI10514SO/DFF/d10-v2-t1-xSI10514SO","link*")</f>
        <v>link*</v>
      </c>
      <c r="V76" s="154" t="str">
        <f>HYPERLINK("https://amzn.to/2WpOvTy","link*")</f>
        <v>link*</v>
      </c>
      <c r="W76" s="154" t="e">
        <f>HYPERLINK("http://rover.ebay.com/rover/1/711-53200-19255-0/1?icep_ff3=9&amp;pub=5575076376&amp;toolid=10001&amp;campid=5338164340&amp;customid=&amp;icep_uq=sigma+art+105+1.4+sony&amp;icep_sellerId=&amp;icep_ex_kw=&amp;icep_sortBy=12&amp;icep_catId=3323&amp;icep_minPrice=&amp;icep_maxPrice=&amp;ipn=psmain&amp;icep_vec"&amp;"torid=229466&amp;kwid=902099&amp;mtid=824&amp;kw=lg","link*")</f>
        <v>#VALUE!</v>
      </c>
      <c r="X76" s="56" t="s">
        <v>48</v>
      </c>
    </row>
    <row r="77" spans="1:24" ht="15.75" customHeight="1">
      <c r="A77" s="207" t="b">
        <v>0</v>
      </c>
      <c r="B77" s="616" t="b">
        <v>0</v>
      </c>
      <c r="C77" s="132" t="str">
        <f>HYPERLINK("https://phillipreeve.net/blog/voigtlander-110mm-f2-5-apo-review/","Voigtlander 110mm F2.5 APO Macro")</f>
        <v>Voigtlander 110mm F2.5 APO Macro</v>
      </c>
      <c r="D77" s="133">
        <v>771</v>
      </c>
      <c r="E77" s="135">
        <v>110</v>
      </c>
      <c r="F77" s="137">
        <v>2.5</v>
      </c>
      <c r="G77" s="221">
        <v>78</v>
      </c>
      <c r="H77" s="237">
        <v>100</v>
      </c>
      <c r="I77" s="146" t="s">
        <v>25</v>
      </c>
      <c r="J77" s="145" t="s">
        <v>71</v>
      </c>
      <c r="K77" s="293">
        <v>1</v>
      </c>
      <c r="L77" s="147">
        <v>35</v>
      </c>
      <c r="M77" s="143" t="s">
        <v>27</v>
      </c>
      <c r="N77" s="146">
        <v>10</v>
      </c>
      <c r="O77" s="272">
        <v>43813</v>
      </c>
      <c r="P77" s="146" t="s">
        <v>29</v>
      </c>
      <c r="Q77" s="150">
        <v>43405</v>
      </c>
      <c r="R77" s="151">
        <v>1099</v>
      </c>
      <c r="S77" s="151" t="s">
        <v>44</v>
      </c>
      <c r="T77" s="154" t="str">
        <f>HYPERLINK("https://amzn.to/2SXYsrm","link*")</f>
        <v>link*</v>
      </c>
      <c r="U77" s="154" t="str">
        <f>HYPERLINK("https://www.bhphotovideo.com/c/product/1418780-REG/voigtlander_ba349a_macro_apo_lanthar_110mm_f_2_5.html/BI/19619/KBID/12129/kw/VO11025/DFF/d10-v2-t1-xVO11025","link*")</f>
        <v>link*</v>
      </c>
      <c r="V77" s="273" t="s">
        <v>51</v>
      </c>
      <c r="W77" s="154" t="e">
        <f>HYPERLINK("http://rover.ebay.com/rover/1/711-53200-19255-0/1?icep_ff3=9&amp;pub=5575076376&amp;toolid=10001&amp;campid=5338164340&amp;customid=&amp;icep_uq=voigtlander+110mm+apo+sony&amp;icep_sellerId=&amp;icep_ex_kw=&amp;icep_sortBy=12&amp;icep_catId=3323&amp;icep_minPrice=&amp;icep_maxPrice=&amp;ipn=psmain&amp;icep"&amp;"_vectorid=229466&amp;kwid=902099&amp;mtid=824&amp;kw=lg","link*")</f>
        <v>#VALUE!</v>
      </c>
      <c r="X77" s="130"/>
    </row>
    <row r="78" spans="1:24" ht="13">
      <c r="A78" s="117" t="b">
        <v>0</v>
      </c>
      <c r="B78" s="615" t="b">
        <v>0</v>
      </c>
      <c r="C78" s="157" t="str">
        <f>HYPERLINK("https://phillipreeve.net/blog/review-sony-fe-135mm-f1-8-gm/","Sony 1.8/135 GM")</f>
        <v>Sony 1.8/135 GM</v>
      </c>
      <c r="D78" s="50">
        <v>950</v>
      </c>
      <c r="E78" s="68">
        <v>135</v>
      </c>
      <c r="F78" s="52">
        <v>1.8</v>
      </c>
      <c r="G78" s="194">
        <v>90</v>
      </c>
      <c r="H78" s="195">
        <v>127</v>
      </c>
      <c r="I78" s="59" t="s">
        <v>36</v>
      </c>
      <c r="J78" s="243" t="s">
        <v>68</v>
      </c>
      <c r="K78" s="295">
        <v>0.25</v>
      </c>
      <c r="L78" s="71">
        <v>70</v>
      </c>
      <c r="M78" s="73" t="s">
        <v>27</v>
      </c>
      <c r="N78" s="59">
        <v>11</v>
      </c>
      <c r="O78" s="110">
        <v>43751</v>
      </c>
      <c r="P78" s="59" t="s">
        <v>41</v>
      </c>
      <c r="Q78" s="83">
        <v>43525</v>
      </c>
      <c r="R78" s="61">
        <v>1899</v>
      </c>
      <c r="S78" s="61">
        <v>1800</v>
      </c>
      <c r="T78" s="69" t="str">
        <f>HYPERLINK("https://amzn.to/2WtonMJ","link*")</f>
        <v>link*</v>
      </c>
      <c r="U78" s="69" t="str">
        <f>HYPERLINK("https://www.bhphotovideo.com/c/product/1393495-REG/sigma_135mm_f_1_8_dg_hsm.html/BI/19619/KBID/12129/kw/SI13518SO/DFF/d10-v2-t1-xSI13518SO","link*")</f>
        <v>link*</v>
      </c>
      <c r="V78" s="69" t="str">
        <f>HYPERLINK("https://amzn.to/2Z9KKDE","link*")</f>
        <v>link*</v>
      </c>
      <c r="W78" s="69" t="e">
        <f>HYPERLINK("http://rover.ebay.com/rover/1/711-53200-19255-0/1?icep_ff3=9&amp;pub=5575076376&amp;toolid=10001&amp;campid=5338164340&amp;customid=&amp;icep_uq=sony+gm+135+&amp;icep_sellerId=&amp;icep_ex_kw=&amp;icep_sortBy=12&amp;icep_catId=3323&amp;icep_minPrice=&amp;icep_maxPrice=&amp;ipn=psmain&amp;icep_vectorid=2294"&amp;"66&amp;kwid=902099&amp;mtid=824&amp;kw=lg","link*")</f>
        <v>#VALUE!</v>
      </c>
    </row>
    <row r="79" spans="1:24" ht="13">
      <c r="A79" s="117" t="b">
        <v>0</v>
      </c>
      <c r="B79" s="615" t="b">
        <v>0</v>
      </c>
      <c r="C79" s="58" t="s">
        <v>185</v>
      </c>
      <c r="D79" s="60">
        <v>1225</v>
      </c>
      <c r="E79" s="62">
        <v>135</v>
      </c>
      <c r="F79" s="64">
        <v>1.8</v>
      </c>
      <c r="G79" s="194">
        <v>91</v>
      </c>
      <c r="H79" s="232">
        <v>140.9</v>
      </c>
      <c r="I79" s="74" t="s">
        <v>36</v>
      </c>
      <c r="J79" s="236" t="s">
        <v>68</v>
      </c>
      <c r="K79" s="74">
        <v>0.2</v>
      </c>
      <c r="L79" s="84">
        <v>87</v>
      </c>
      <c r="M79" s="70" t="s">
        <v>27</v>
      </c>
      <c r="N79" s="74">
        <v>9</v>
      </c>
      <c r="O79" s="112">
        <v>43751</v>
      </c>
      <c r="P79" s="74" t="s">
        <v>47</v>
      </c>
      <c r="Q79" s="88">
        <v>43221</v>
      </c>
      <c r="R79" s="184">
        <v>1399</v>
      </c>
      <c r="S79" s="184">
        <v>850</v>
      </c>
      <c r="T79" s="79" t="str">
        <f>HYPERLINK("https://amzn.to/2yxIM4R","link*")</f>
        <v>link*</v>
      </c>
      <c r="U79" s="79" t="str">
        <f>HYPERLINK("https://www.bhphotovideo.com/c/product/1393495-REG/sigma_135mm_f_1_8_dg_hsm.html/BI/19619/KBID/12129/DFF/d10-v21-t1-x881160/SID/EZ","link*")</f>
        <v>link*</v>
      </c>
      <c r="V79" s="113" t="s">
        <v>51</v>
      </c>
      <c r="W79" s="79" t="e">
        <f>HYPERLINK("http://rover.ebay.com/rover/1/711-53200-19255-0/1?icep_ff3=9&amp;pub=5575076376&amp;toolid=10001&amp;campid=5338164340&amp;customid=&amp;icep_uq=sigma+art+135+sony&amp;icep_sellerId=&amp;icep_ex_kw=&amp;icep_sortBy=12&amp;icep_catId=3323&amp;icep_minPrice=&amp;icep_maxPrice=&amp;ipn=psmain&amp;icep_vectori"&amp;"d=229466&amp;kwid=902099&amp;mtid=824&amp;kw=lg","link*")</f>
        <v>#VALUE!</v>
      </c>
      <c r="X79" s="77" t="s">
        <v>48</v>
      </c>
    </row>
    <row r="80" spans="1:24" ht="13">
      <c r="A80" s="207" t="b">
        <v>0</v>
      </c>
      <c r="B80" s="616" t="b">
        <v>0</v>
      </c>
      <c r="C80" s="19" t="str">
        <f>HYPERLINK("https://phillipreeve.net/blog/zeiss-batis-apo-sonnar-t-135mm-f2-8/","Zeiss 2.8/135 APO")</f>
        <v>Zeiss 2.8/135 APO</v>
      </c>
      <c r="D80" s="21">
        <v>614</v>
      </c>
      <c r="E80" s="23">
        <v>135</v>
      </c>
      <c r="F80" s="25">
        <v>2.8</v>
      </c>
      <c r="G80" s="221">
        <v>99</v>
      </c>
      <c r="H80" s="237">
        <v>120</v>
      </c>
      <c r="I80" s="35" t="s">
        <v>36</v>
      </c>
      <c r="J80" s="33" t="s">
        <v>73</v>
      </c>
      <c r="K80" s="35">
        <v>0.19</v>
      </c>
      <c r="L80" s="37">
        <v>87</v>
      </c>
      <c r="M80" s="238" t="s">
        <v>66</v>
      </c>
      <c r="N80" s="35">
        <v>9</v>
      </c>
      <c r="O80" s="124">
        <v>43783</v>
      </c>
      <c r="P80" s="35" t="s">
        <v>87</v>
      </c>
      <c r="Q80" s="42">
        <v>42826</v>
      </c>
      <c r="R80" s="44">
        <v>1699</v>
      </c>
      <c r="S80" s="44">
        <v>1000</v>
      </c>
      <c r="T80" s="47" t="str">
        <f>HYPERLINK("https://amzn.to/319GJA4","link*")</f>
        <v>link*</v>
      </c>
      <c r="U80" s="47" t="str">
        <f>HYPERLINK("https://www.bhphotovideo.com/c/product/1330083-REG/zeiss_2136_695_batis_135mm_f_2_8_lens.html/BI/19619/KBID/12129/DFF/d10-v21-t1-x814884/SID/EZ","link*")</f>
        <v>link*</v>
      </c>
      <c r="V80" s="97" t="s">
        <v>51</v>
      </c>
      <c r="W80" s="47" t="e">
        <f>HYPERLINK("http://rover.ebay.com/rover/1/711-53200-19255-0/1?icep_ff3=9&amp;pub=5575076376&amp;toolid=10001&amp;campid=5338164340&amp;customid=&amp;icep_uq=zeiss+batis+135+2.8&amp;icep_sellerId=&amp;icep_ex_kw=&amp;icep_sortBy=12&amp;icep_catId=3323&amp;icep_minPrice=&amp;icep_maxPrice=&amp;ipn=psmain&amp;icep_vector"&amp;"id=229466&amp;kwid=902099&amp;mtid=824&amp;kw=lg","link*")</f>
        <v>#VALUE!</v>
      </c>
      <c r="X80" s="130"/>
    </row>
    <row r="81" spans="1:24" ht="13">
      <c r="A81" s="117" t="b">
        <v>0</v>
      </c>
      <c r="B81" s="615" t="b">
        <v>0</v>
      </c>
      <c r="C81" s="296" t="s">
        <v>186</v>
      </c>
      <c r="D81" s="133">
        <v>2215</v>
      </c>
      <c r="E81" s="135">
        <v>200</v>
      </c>
      <c r="F81" s="137" t="s">
        <v>187</v>
      </c>
      <c r="G81" s="221">
        <v>112</v>
      </c>
      <c r="H81" s="237">
        <v>318</v>
      </c>
      <c r="I81" s="146" t="s">
        <v>36</v>
      </c>
      <c r="J81" s="299" t="s">
        <v>152</v>
      </c>
      <c r="K81" s="146">
        <v>0.2</v>
      </c>
      <c r="L81" s="147">
        <v>240</v>
      </c>
      <c r="M81" s="294" t="s">
        <v>66</v>
      </c>
      <c r="N81" s="146">
        <v>11</v>
      </c>
      <c r="O81" s="300" t="s">
        <v>188</v>
      </c>
      <c r="P81" s="146" t="s">
        <v>41</v>
      </c>
      <c r="Q81" s="150">
        <v>43647</v>
      </c>
      <c r="R81" s="151">
        <v>1999</v>
      </c>
      <c r="S81" s="151" t="s">
        <v>44</v>
      </c>
      <c r="T81" s="273"/>
      <c r="U81" s="154" t="str">
        <f>HYPERLINK("https://www.bhphotovideo.com/c/product/1485540-REG/sony_sel200600g_fe_200_600mm_f_5_6_6_3_g.html/BI/19619/KBID/12129/DFF/d10-v21-t1-x968882/SID/EZ","link*")</f>
        <v>link*</v>
      </c>
      <c r="V81" s="273" t="s">
        <v>51</v>
      </c>
      <c r="W81" s="154" t="e">
        <f>HYPERLINK("http://rover.ebay.com/rover/1/711-53200-19255-0/1?icep_ff3=9&amp;pub=5575076376&amp;toolid=10001&amp;campid=5338164340&amp;customid=&amp;icep_uq=sony+200-600&amp;icep_sellerId=&amp;icep_ex_kw=&amp;icep_sortBy=12&amp;icep_catId=3323&amp;icep_minPrice=&amp;icep_maxPrice=&amp;ipn=psmain&amp;icep_vectorid=2294"&amp;"66&amp;kwid=902099&amp;mtid=824&amp;kw=lg","link*")</f>
        <v>#VALUE!</v>
      </c>
      <c r="X81" s="130"/>
    </row>
    <row r="82" spans="1:24" ht="13">
      <c r="A82" s="207" t="b">
        <v>0</v>
      </c>
      <c r="B82" s="616" t="b">
        <v>0</v>
      </c>
      <c r="C82" s="296" t="s">
        <v>189</v>
      </c>
      <c r="D82" s="133">
        <v>2895</v>
      </c>
      <c r="E82" s="135">
        <v>400</v>
      </c>
      <c r="F82" s="137">
        <v>2.8</v>
      </c>
      <c r="G82" s="221">
        <v>158</v>
      </c>
      <c r="H82" s="237">
        <v>359</v>
      </c>
      <c r="I82" s="146" t="s">
        <v>36</v>
      </c>
      <c r="J82" s="145" t="s">
        <v>190</v>
      </c>
      <c r="K82" s="146">
        <v>0.16</v>
      </c>
      <c r="L82" s="147">
        <v>270</v>
      </c>
      <c r="M82" s="294" t="s">
        <v>66</v>
      </c>
      <c r="N82" s="146">
        <v>11</v>
      </c>
      <c r="O82" s="300" t="s">
        <v>191</v>
      </c>
      <c r="P82" s="146" t="s">
        <v>41</v>
      </c>
      <c r="Q82" s="150">
        <v>43313</v>
      </c>
      <c r="R82" s="151">
        <v>11999</v>
      </c>
      <c r="S82" s="151" t="s">
        <v>44</v>
      </c>
      <c r="T82" s="273"/>
      <c r="U82" s="154" t="str">
        <f>HYPERLINK("https://www.bhphotovideo.com/c/product/1369634-REG/sony_fe_400mm_f_2_8_gm.html/BI/19619/KBID/12129/DFF/d10-v21-t1-x905722/SID/EZ","link*")</f>
        <v>link*</v>
      </c>
      <c r="V82" s="273" t="s">
        <v>51</v>
      </c>
      <c r="W82" s="154" t="e">
        <f>HYPERLINK("http://rover.ebay.com/rover/1/711-53200-19255-0/1?icep_ff3=9&amp;pub=5575076376&amp;toolid=10001&amp;campid=5338164340&amp;customid=&amp;icep_uq=sony+400+gm&amp;icep_sellerId=&amp;icep_ex_kw=&amp;icep_sortBy=12&amp;icep_catId=3323&amp;icep_minPrice=&amp;icep_maxPrice=&amp;ipn=psmain&amp;icep_vectorid=22946"&amp;"6&amp;kwid=902099&amp;mtid=824&amp;kw=lg","link*")</f>
        <v>#VALUE!</v>
      </c>
      <c r="X82" s="130"/>
    </row>
    <row r="83" spans="1:24" ht="13">
      <c r="A83" s="207" t="b">
        <v>0</v>
      </c>
      <c r="B83" s="616" t="b">
        <v>0</v>
      </c>
      <c r="C83" s="301" t="s">
        <v>192</v>
      </c>
      <c r="D83" s="302">
        <v>3040</v>
      </c>
      <c r="E83" s="303">
        <v>600</v>
      </c>
      <c r="F83" s="305">
        <v>4</v>
      </c>
      <c r="G83" s="194">
        <v>164</v>
      </c>
      <c r="H83" s="195">
        <v>449</v>
      </c>
      <c r="I83" s="306" t="s">
        <v>36</v>
      </c>
      <c r="J83" s="307" t="s">
        <v>26</v>
      </c>
      <c r="K83" s="306">
        <v>0.14000000000000001</v>
      </c>
      <c r="L83" s="308">
        <v>451</v>
      </c>
      <c r="M83" s="158" t="s">
        <v>66</v>
      </c>
      <c r="N83" s="306">
        <v>11</v>
      </c>
      <c r="O83" s="309" t="s">
        <v>195</v>
      </c>
      <c r="P83" s="306" t="s">
        <v>41</v>
      </c>
      <c r="Q83" s="310">
        <v>43678</v>
      </c>
      <c r="R83" s="311" t="s">
        <v>193</v>
      </c>
      <c r="S83" s="311" t="s">
        <v>44</v>
      </c>
      <c r="T83" s="189"/>
      <c r="U83" s="69" t="str">
        <f>HYPERLINK("https://www.bhphotovideo.com/c/product/1485539-REG/sony_sel600f40gm_fe_600mm_f_4_gm.html/BI/19619/KBID/12129/DFF/d10-v21-t1-x968881/SID/EZ","link*")</f>
        <v>link*</v>
      </c>
      <c r="V83" s="189" t="s">
        <v>51</v>
      </c>
      <c r="W83" s="69" t="e">
        <f>HYPERLINK("http://rover.ebay.com/rover/1/711-53200-19255-0/1?icep_ff3=9&amp;pub=5575076376&amp;toolid=10001&amp;campid=5338164340&amp;customid=&amp;icep_uq=sony+600+gm&amp;icep_sellerId=&amp;icep_ex_kw=&amp;icep_sortBy=12&amp;icep_catId=3323&amp;icep_minPrice=&amp;icep_maxPrice=&amp;ipn=psmain&amp;icep_vectorid=22946"&amp;"6&amp;kwid=902099&amp;mtid=824&amp;kw=lg","link*")</f>
        <v>#VALUE!</v>
      </c>
    </row>
    <row r="84" spans="1:24" ht="13" hidden="1">
      <c r="A84" s="207" t="b">
        <v>0</v>
      </c>
      <c r="B84" s="616" t="b">
        <v>0</v>
      </c>
      <c r="C84" s="207"/>
      <c r="D84" s="208"/>
      <c r="E84" s="209"/>
      <c r="F84" s="210"/>
      <c r="G84" s="194"/>
      <c r="H84" s="195"/>
      <c r="I84" s="77"/>
      <c r="J84" s="212"/>
      <c r="K84" s="77"/>
      <c r="L84" s="215"/>
      <c r="M84" s="77"/>
      <c r="N84" s="77"/>
      <c r="O84" s="77"/>
      <c r="P84" s="77"/>
      <c r="Q84" s="290"/>
      <c r="R84" s="213"/>
      <c r="S84" s="213"/>
      <c r="T84" s="214"/>
      <c r="U84" s="214"/>
      <c r="V84" s="214"/>
      <c r="W84" s="214"/>
    </row>
    <row r="85" spans="1:24" ht="13" hidden="1">
      <c r="A85" s="207"/>
      <c r="B85" s="207"/>
      <c r="C85" s="207"/>
      <c r="D85" s="208"/>
      <c r="E85" s="209"/>
      <c r="F85" s="210"/>
      <c r="G85" s="194"/>
      <c r="H85" s="195"/>
      <c r="I85" s="77"/>
      <c r="J85" s="212"/>
      <c r="K85" s="77"/>
      <c r="L85" s="215"/>
      <c r="M85" s="77"/>
      <c r="N85" s="77"/>
      <c r="O85" s="77"/>
      <c r="P85" s="77"/>
      <c r="Q85" s="290"/>
      <c r="R85" s="213"/>
      <c r="S85" s="213"/>
      <c r="T85" s="214"/>
      <c r="U85" s="214"/>
      <c r="V85" s="214"/>
      <c r="W85" s="214"/>
    </row>
    <row r="86" spans="1:24" ht="13" hidden="1">
      <c r="A86" s="207"/>
      <c r="B86" s="207"/>
      <c r="C86" s="207"/>
      <c r="D86" s="208"/>
      <c r="E86" s="209"/>
      <c r="F86" s="210"/>
      <c r="G86" s="194"/>
      <c r="H86" s="195"/>
      <c r="I86" s="77"/>
      <c r="J86" s="212"/>
      <c r="K86" s="77"/>
      <c r="L86" s="215"/>
      <c r="M86" s="77"/>
      <c r="N86" s="77"/>
      <c r="O86" s="77"/>
      <c r="P86" s="77"/>
      <c r="Q86" s="290"/>
      <c r="R86" s="213"/>
      <c r="S86" s="213"/>
      <c r="T86" s="214"/>
      <c r="U86" s="214"/>
      <c r="V86" s="214"/>
      <c r="W86" s="214"/>
    </row>
    <row r="87" spans="1:24" ht="13" hidden="1">
      <c r="A87" s="207"/>
      <c r="B87" s="207"/>
      <c r="C87" s="207"/>
      <c r="D87" s="208"/>
      <c r="E87" s="209"/>
      <c r="F87" s="210"/>
      <c r="G87" s="194"/>
      <c r="H87" s="195"/>
      <c r="I87" s="77"/>
      <c r="J87" s="212"/>
      <c r="K87" s="77"/>
      <c r="L87" s="215"/>
      <c r="M87" s="77"/>
      <c r="N87" s="77"/>
      <c r="O87" s="77"/>
      <c r="P87" s="77"/>
      <c r="Q87" s="290"/>
      <c r="R87" s="213"/>
      <c r="S87" s="213"/>
      <c r="T87" s="214"/>
      <c r="U87" s="214"/>
      <c r="V87" s="214"/>
      <c r="W87" s="214"/>
    </row>
    <row r="88" spans="1:24" ht="13" hidden="1">
      <c r="A88" s="207"/>
      <c r="B88" s="207"/>
      <c r="C88" s="207"/>
      <c r="D88" s="208"/>
      <c r="E88" s="209"/>
      <c r="F88" s="210"/>
      <c r="G88" s="194"/>
      <c r="H88" s="176"/>
      <c r="I88" s="77"/>
      <c r="J88" s="212"/>
      <c r="K88" s="77"/>
      <c r="L88" s="215"/>
      <c r="M88" s="77"/>
      <c r="N88" s="77"/>
      <c r="O88" s="77"/>
      <c r="P88" s="77"/>
      <c r="Q88" s="290"/>
      <c r="R88" s="213"/>
      <c r="S88" s="213"/>
      <c r="T88" s="214"/>
      <c r="U88" s="214"/>
      <c r="V88" s="214"/>
      <c r="W88" s="214"/>
    </row>
    <row r="89" spans="1:24" ht="13" hidden="1">
      <c r="A89" s="207"/>
      <c r="B89" s="207"/>
      <c r="C89" s="207"/>
      <c r="D89" s="208"/>
      <c r="E89" s="209"/>
      <c r="F89" s="210"/>
      <c r="G89" s="194"/>
      <c r="H89" s="195"/>
      <c r="I89" s="77"/>
      <c r="J89" s="212"/>
      <c r="K89" s="77"/>
      <c r="L89" s="215"/>
      <c r="M89" s="77"/>
      <c r="N89" s="77"/>
      <c r="O89" s="77"/>
      <c r="P89" s="77"/>
      <c r="Q89" s="290"/>
      <c r="R89" s="213"/>
      <c r="S89" s="213"/>
      <c r="T89" s="214"/>
      <c r="U89" s="214"/>
      <c r="V89" s="214"/>
      <c r="W89" s="214"/>
    </row>
    <row r="90" spans="1:24" ht="13" hidden="1">
      <c r="A90" s="207"/>
      <c r="B90" s="207"/>
      <c r="C90" s="207"/>
      <c r="D90" s="208"/>
      <c r="E90" s="209"/>
      <c r="F90" s="210"/>
      <c r="G90" s="194"/>
      <c r="H90" s="195"/>
      <c r="I90" s="77"/>
      <c r="J90" s="212"/>
      <c r="K90" s="77"/>
      <c r="L90" s="215"/>
      <c r="M90" s="77"/>
      <c r="N90" s="77"/>
      <c r="O90" s="77"/>
      <c r="P90" s="77"/>
      <c r="Q90" s="290"/>
      <c r="R90" s="213"/>
      <c r="S90" s="213"/>
      <c r="T90" s="214"/>
      <c r="U90" s="214"/>
      <c r="V90" s="214"/>
      <c r="W90" s="214"/>
    </row>
    <row r="91" spans="1:24" ht="13" hidden="1">
      <c r="A91" s="207"/>
      <c r="B91" s="207"/>
      <c r="C91" s="207"/>
      <c r="D91" s="208"/>
      <c r="E91" s="209"/>
      <c r="F91" s="210"/>
      <c r="G91" s="194"/>
      <c r="H91" s="195"/>
      <c r="I91" s="77"/>
      <c r="J91" s="212"/>
      <c r="K91" s="77"/>
      <c r="L91" s="215"/>
      <c r="M91" s="77"/>
      <c r="N91" s="77"/>
      <c r="O91" s="77"/>
      <c r="P91" s="77"/>
      <c r="Q91" s="290"/>
      <c r="R91" s="213"/>
      <c r="S91" s="213"/>
      <c r="T91" s="214"/>
      <c r="U91" s="214"/>
      <c r="V91" s="214"/>
      <c r="W91" s="214"/>
    </row>
    <row r="92" spans="1:24" ht="13" hidden="1">
      <c r="A92" s="207"/>
      <c r="B92" s="207"/>
      <c r="C92" s="207"/>
      <c r="D92" s="208"/>
      <c r="E92" s="209"/>
      <c r="F92" s="210"/>
      <c r="G92" s="194"/>
      <c r="H92" s="195"/>
      <c r="I92" s="77"/>
      <c r="J92" s="212"/>
      <c r="K92" s="77"/>
      <c r="L92" s="215"/>
      <c r="M92" s="77"/>
      <c r="N92" s="77"/>
      <c r="O92" s="77"/>
      <c r="P92" s="77"/>
      <c r="Q92" s="290"/>
      <c r="R92" s="213"/>
      <c r="S92" s="213"/>
      <c r="T92" s="214"/>
      <c r="U92" s="214"/>
      <c r="V92" s="214"/>
      <c r="W92" s="214"/>
    </row>
    <row r="93" spans="1:24" ht="13" hidden="1">
      <c r="A93" s="207"/>
      <c r="B93" s="207"/>
      <c r="C93" s="207"/>
      <c r="D93" s="208"/>
      <c r="E93" s="209"/>
      <c r="F93" s="210"/>
      <c r="G93" s="194"/>
      <c r="H93" s="195"/>
      <c r="I93" s="77"/>
      <c r="J93" s="212"/>
      <c r="K93" s="77"/>
      <c r="L93" s="215"/>
      <c r="M93" s="77"/>
      <c r="N93" s="77"/>
      <c r="O93" s="77"/>
      <c r="P93" s="77"/>
      <c r="Q93" s="290"/>
      <c r="R93" s="213"/>
      <c r="S93" s="213"/>
      <c r="T93" s="214"/>
      <c r="U93" s="214"/>
      <c r="V93" s="214"/>
      <c r="W93" s="214"/>
    </row>
    <row r="94" spans="1:24" ht="13" hidden="1">
      <c r="A94" s="207"/>
      <c r="B94" s="207"/>
      <c r="C94" s="207"/>
      <c r="D94" s="208"/>
      <c r="E94" s="209"/>
      <c r="F94" s="210"/>
      <c r="G94" s="194"/>
      <c r="H94" s="176"/>
      <c r="I94" s="77"/>
      <c r="J94" s="212"/>
      <c r="K94" s="77"/>
      <c r="L94" s="215"/>
      <c r="M94" s="77"/>
      <c r="N94" s="77"/>
      <c r="O94" s="77"/>
      <c r="P94" s="77"/>
      <c r="Q94" s="290"/>
      <c r="R94" s="213"/>
      <c r="S94" s="213"/>
      <c r="T94" s="214"/>
      <c r="U94" s="214"/>
      <c r="V94" s="214"/>
      <c r="W94" s="214"/>
    </row>
    <row r="95" spans="1:24" ht="13" hidden="1">
      <c r="A95" s="207"/>
      <c r="B95" s="207"/>
      <c r="C95" s="207"/>
      <c r="D95" s="208"/>
      <c r="E95" s="209"/>
      <c r="F95" s="210"/>
      <c r="G95" s="194"/>
      <c r="H95" s="195"/>
      <c r="I95" s="77"/>
      <c r="J95" s="212"/>
      <c r="K95" s="77"/>
      <c r="L95" s="215"/>
      <c r="M95" s="77"/>
      <c r="N95" s="77"/>
      <c r="O95" s="77"/>
      <c r="P95" s="77"/>
      <c r="Q95" s="290"/>
      <c r="R95" s="213"/>
      <c r="S95" s="213"/>
      <c r="T95" s="214"/>
      <c r="U95" s="214"/>
      <c r="V95" s="214"/>
      <c r="W95" s="214"/>
    </row>
    <row r="96" spans="1:24" ht="13" hidden="1">
      <c r="A96" s="207"/>
      <c r="B96" s="207"/>
      <c r="C96" s="207"/>
      <c r="D96" s="208"/>
      <c r="E96" s="209"/>
      <c r="F96" s="210"/>
      <c r="G96" s="217"/>
      <c r="H96" s="291"/>
      <c r="I96" s="77"/>
      <c r="J96" s="212"/>
      <c r="K96" s="77"/>
      <c r="L96" s="215"/>
      <c r="M96" s="77"/>
      <c r="N96" s="77"/>
      <c r="O96" s="77"/>
      <c r="P96" s="77"/>
      <c r="Q96" s="290"/>
      <c r="R96" s="213"/>
      <c r="S96" s="213"/>
      <c r="T96" s="214"/>
      <c r="U96" s="214"/>
      <c r="V96" s="214"/>
      <c r="W96" s="214"/>
    </row>
    <row r="97" spans="1:23" ht="13" hidden="1">
      <c r="A97" s="207"/>
      <c r="B97" s="207"/>
      <c r="C97" s="207"/>
      <c r="D97" s="208"/>
      <c r="E97" s="209"/>
      <c r="F97" s="210"/>
      <c r="G97" s="219"/>
      <c r="H97" s="219"/>
      <c r="I97" s="77"/>
      <c r="J97" s="212"/>
      <c r="K97" s="77"/>
      <c r="L97" s="215"/>
      <c r="M97" s="77"/>
      <c r="N97" s="77"/>
      <c r="O97" s="77"/>
      <c r="P97" s="77"/>
      <c r="Q97" s="290"/>
      <c r="R97" s="213"/>
      <c r="S97" s="213"/>
      <c r="T97" s="214"/>
      <c r="U97" s="214"/>
      <c r="V97" s="214"/>
      <c r="W97" s="214"/>
    </row>
    <row r="98" spans="1:23" ht="13" hidden="1">
      <c r="A98" s="207"/>
      <c r="B98" s="207"/>
      <c r="C98" s="207"/>
      <c r="D98" s="208"/>
      <c r="E98" s="209"/>
      <c r="F98" s="210"/>
      <c r="G98" s="219"/>
      <c r="H98" s="219"/>
      <c r="I98" s="77"/>
      <c r="J98" s="212"/>
      <c r="K98" s="77"/>
      <c r="L98" s="215"/>
      <c r="M98" s="77"/>
      <c r="N98" s="77"/>
      <c r="O98" s="77"/>
      <c r="P98" s="77"/>
      <c r="Q98" s="290"/>
      <c r="R98" s="213"/>
      <c r="S98" s="213"/>
      <c r="T98" s="214"/>
      <c r="U98" s="214"/>
      <c r="V98" s="214"/>
      <c r="W98" s="214"/>
    </row>
    <row r="99" spans="1:23" ht="13" hidden="1">
      <c r="A99" s="207"/>
      <c r="B99" s="207"/>
      <c r="C99" s="207"/>
      <c r="D99" s="208"/>
      <c r="E99" s="209"/>
      <c r="F99" s="210"/>
      <c r="G99" s="219"/>
      <c r="H99" s="219"/>
      <c r="I99" s="77"/>
      <c r="J99" s="212"/>
      <c r="K99" s="77"/>
      <c r="L99" s="215"/>
      <c r="M99" s="77"/>
      <c r="N99" s="77"/>
      <c r="O99" s="77"/>
      <c r="P99" s="77"/>
      <c r="Q99" s="290"/>
      <c r="R99" s="213"/>
      <c r="S99" s="213"/>
      <c r="T99" s="214"/>
      <c r="U99" s="214"/>
      <c r="V99" s="214"/>
      <c r="W99" s="214"/>
    </row>
    <row r="100" spans="1:23" ht="13" hidden="1">
      <c r="A100" s="207"/>
      <c r="B100" s="207"/>
      <c r="C100" s="207"/>
      <c r="D100" s="208"/>
      <c r="E100" s="209"/>
      <c r="F100" s="210"/>
      <c r="G100" s="219"/>
      <c r="H100" s="219"/>
      <c r="I100" s="77"/>
      <c r="J100" s="212"/>
      <c r="K100" s="77"/>
      <c r="L100" s="215"/>
      <c r="M100" s="77"/>
      <c r="N100" s="77"/>
      <c r="O100" s="77"/>
      <c r="P100" s="77"/>
      <c r="Q100" s="290"/>
      <c r="R100" s="213"/>
      <c r="S100" s="213"/>
      <c r="T100" s="214"/>
      <c r="U100" s="214"/>
      <c r="V100" s="214"/>
      <c r="W100" s="214"/>
    </row>
    <row r="101" spans="1:23" ht="13" hidden="1">
      <c r="A101" s="207"/>
      <c r="B101" s="207"/>
      <c r="C101" s="207"/>
      <c r="D101" s="208"/>
      <c r="E101" s="209"/>
      <c r="F101" s="210"/>
      <c r="G101" s="219"/>
      <c r="H101" s="219"/>
      <c r="I101" s="77"/>
      <c r="J101" s="212"/>
      <c r="K101" s="77"/>
      <c r="L101" s="215"/>
      <c r="M101" s="77"/>
      <c r="N101" s="77"/>
      <c r="O101" s="77"/>
      <c r="P101" s="77"/>
      <c r="Q101" s="290"/>
      <c r="R101" s="213"/>
      <c r="S101" s="213"/>
      <c r="T101" s="214"/>
      <c r="U101" s="214"/>
      <c r="V101" s="214"/>
      <c r="W101" s="214"/>
    </row>
    <row r="102" spans="1:23" ht="13" hidden="1">
      <c r="A102" s="207"/>
      <c r="B102" s="207"/>
      <c r="C102" s="207"/>
      <c r="D102" s="208"/>
      <c r="E102" s="209"/>
      <c r="F102" s="210"/>
      <c r="G102" s="219"/>
      <c r="H102" s="219"/>
      <c r="I102" s="77"/>
      <c r="J102" s="212"/>
      <c r="K102" s="77"/>
      <c r="L102" s="215"/>
      <c r="M102" s="77"/>
      <c r="N102" s="77"/>
      <c r="O102" s="77"/>
      <c r="P102" s="77"/>
      <c r="Q102" s="290"/>
      <c r="R102" s="213"/>
      <c r="S102" s="213"/>
      <c r="T102" s="214"/>
      <c r="U102" s="214"/>
      <c r="V102" s="214"/>
      <c r="W102" s="214"/>
    </row>
    <row r="103" spans="1:23" ht="13" hidden="1">
      <c r="A103" s="207"/>
      <c r="B103" s="207"/>
      <c r="C103" s="207"/>
      <c r="D103" s="208"/>
      <c r="E103" s="209"/>
      <c r="F103" s="210"/>
      <c r="G103" s="219"/>
      <c r="H103" s="219"/>
      <c r="I103" s="77"/>
      <c r="J103" s="212"/>
      <c r="K103" s="77"/>
      <c r="L103" s="215"/>
      <c r="M103" s="77"/>
      <c r="N103" s="77"/>
      <c r="O103" s="77"/>
      <c r="P103" s="77"/>
      <c r="Q103" s="290"/>
      <c r="R103" s="213"/>
      <c r="S103" s="213"/>
      <c r="T103" s="214"/>
      <c r="U103" s="214"/>
      <c r="V103" s="214"/>
      <c r="W103" s="214"/>
    </row>
    <row r="104" spans="1:23" ht="15">
      <c r="A104" s="207"/>
      <c r="B104" s="207"/>
      <c r="C104" s="312" t="s">
        <v>207</v>
      </c>
      <c r="D104" s="313"/>
      <c r="E104" s="312"/>
      <c r="F104" s="312"/>
      <c r="G104" s="314"/>
      <c r="H104" s="315"/>
      <c r="I104" s="312"/>
      <c r="J104" s="316"/>
      <c r="K104" s="312"/>
      <c r="L104" s="312"/>
      <c r="M104" s="312"/>
      <c r="N104" s="312"/>
      <c r="O104" s="312"/>
      <c r="P104" s="312"/>
      <c r="Q104" s="312"/>
      <c r="R104" s="312"/>
      <c r="S104" s="312"/>
      <c r="T104" s="317"/>
      <c r="U104" s="317"/>
      <c r="V104" s="317"/>
      <c r="W104" s="317"/>
    </row>
    <row r="105" spans="1:23" ht="15">
      <c r="A105" s="207"/>
      <c r="B105" s="207"/>
      <c r="C105" s="223" t="s">
        <v>136</v>
      </c>
      <c r="D105" s="318">
        <f>COUNT(E2:E102)</f>
        <v>81</v>
      </c>
      <c r="F105" s="77"/>
      <c r="G105" s="219"/>
      <c r="H105" s="220"/>
      <c r="I105" s="77"/>
      <c r="J105" s="212"/>
      <c r="K105" s="77"/>
      <c r="L105" s="77"/>
      <c r="M105" s="77"/>
      <c r="N105" s="77"/>
      <c r="O105" s="77"/>
      <c r="P105" s="77"/>
      <c r="Q105" s="77"/>
      <c r="R105" s="77"/>
      <c r="S105" s="77"/>
      <c r="T105" s="214"/>
      <c r="U105" s="214"/>
      <c r="V105" s="214"/>
      <c r="W105" s="214"/>
    </row>
    <row r="106" spans="1:23" ht="15">
      <c r="A106" s="617"/>
      <c r="B106" s="617" t="str">
        <f ca="1">IFERROR(__xludf.DUMMYFUNCTION("Query(B5:X47, ""where A = TRUE"",1)"),"#VALUE!")</f>
        <v>#VALUE!</v>
      </c>
      <c r="C106" s="225" t="s">
        <v>252</v>
      </c>
      <c r="G106" s="219"/>
      <c r="H106" s="220"/>
      <c r="J106" s="226"/>
      <c r="T106" s="214"/>
      <c r="U106" s="214"/>
      <c r="V106" s="214"/>
      <c r="W106" s="214"/>
    </row>
    <row r="107" spans="1:23" ht="13">
      <c r="A107" s="207"/>
      <c r="B107" s="207"/>
      <c r="C107" s="207"/>
      <c r="D107" s="77"/>
      <c r="E107" s="77"/>
      <c r="F107" s="77"/>
      <c r="G107" s="219"/>
      <c r="H107" s="220"/>
      <c r="I107" s="77"/>
      <c r="J107" s="212"/>
      <c r="K107" s="77"/>
      <c r="L107" s="77"/>
      <c r="M107" s="77"/>
      <c r="N107" s="77"/>
      <c r="O107" s="77"/>
      <c r="P107" s="77"/>
      <c r="Q107" s="77"/>
      <c r="R107" s="77"/>
      <c r="S107" s="77"/>
      <c r="T107" s="214"/>
      <c r="U107" s="214"/>
      <c r="V107" s="214"/>
      <c r="W107" s="214"/>
    </row>
    <row r="108" spans="1:23" ht="13">
      <c r="A108" s="207"/>
      <c r="B108" s="207"/>
      <c r="C108" s="319" t="str">
        <f>HYPERLINK("https://phillipreeve.net/blog/sony-fe-lenses/fe-list/","If you have a question or want to report any mistake please leave a comment on the blog.")</f>
        <v>If you have a question or want to report any mistake please leave a comment on the blog.</v>
      </c>
      <c r="D108" s="228"/>
      <c r="E108" s="228"/>
      <c r="F108" s="228"/>
      <c r="G108" s="229"/>
      <c r="H108" s="230"/>
      <c r="I108" s="228"/>
      <c r="J108" s="231"/>
      <c r="K108" s="228"/>
      <c r="R108" s="228"/>
      <c r="S108" s="228"/>
      <c r="T108" s="214"/>
      <c r="U108" s="214"/>
      <c r="V108" s="214"/>
      <c r="W108" s="214"/>
    </row>
    <row r="109" spans="1:23" ht="13">
      <c r="A109" s="207"/>
      <c r="B109" s="207"/>
      <c r="G109" s="219"/>
      <c r="H109" s="220"/>
      <c r="J109" s="226"/>
      <c r="T109" s="214"/>
      <c r="U109" s="214"/>
      <c r="V109" s="214"/>
      <c r="W109" s="214"/>
    </row>
    <row r="110" spans="1:23" ht="13">
      <c r="A110" s="207"/>
      <c r="B110" s="207"/>
      <c r="C110" s="207" t="s">
        <v>139</v>
      </c>
      <c r="G110" s="219"/>
      <c r="H110" s="220"/>
      <c r="J110" s="226"/>
      <c r="T110" s="214"/>
      <c r="U110" s="214"/>
      <c r="V110" s="214"/>
      <c r="W110" s="214"/>
    </row>
    <row r="111" spans="1:23" ht="13">
      <c r="A111" s="207"/>
      <c r="B111" s="207"/>
      <c r="C111" s="170" t="str">
        <f>HYPERLINK("https://phillipreeve.net/blog/fe-lenses-sony-comprehensive-independent-guide/","Our Guide to FE-mount lenses - If you need any help on finding the right lens.")</f>
        <v>Our Guide to FE-mount lenses - If you need any help on finding the right lens.</v>
      </c>
      <c r="G111" s="219"/>
      <c r="H111" s="220"/>
      <c r="J111" s="226"/>
      <c r="T111" s="214"/>
      <c r="U111" s="214"/>
      <c r="V111" s="214"/>
      <c r="W111" s="214"/>
    </row>
    <row r="112" spans="1:23" ht="13">
      <c r="A112" s="207"/>
      <c r="B112" s="207"/>
      <c r="C112" s="170" t="str">
        <f>HYPERLINK("https://phillipreeve.net/blog/9-golden-rules-to-buy-the-wrong-lens/","10 golden rules to buy the wrong lens.")</f>
        <v>10 golden rules to buy the wrong lens.</v>
      </c>
      <c r="G112" s="219"/>
      <c r="H112" s="220"/>
      <c r="J112" s="226"/>
      <c r="T112" s="214"/>
      <c r="U112" s="214"/>
      <c r="V112" s="214"/>
      <c r="W112" s="214"/>
    </row>
    <row r="113" spans="1:23" ht="13">
      <c r="A113" s="207"/>
      <c r="B113" s="207"/>
      <c r="C113" s="170" t="str">
        <f>HYPERLINK("https://phillipreeve.net/blog/user-guide-ultra-wideangle-lenses-sony-alpha-7-series/","Our Guide to Ultra-Wideangle lenses")</f>
        <v>Our Guide to Ultra-Wideangle lenses</v>
      </c>
      <c r="G113" s="219"/>
      <c r="H113" s="220"/>
      <c r="J113" s="226"/>
      <c r="T113" s="214"/>
      <c r="U113" s="214"/>
      <c r="V113" s="214"/>
      <c r="W113" s="214"/>
    </row>
    <row r="114" spans="1:23" ht="13">
      <c r="A114" s="207"/>
      <c r="B114" s="207"/>
      <c r="C114" s="170" t="str">
        <f>HYPERLINK("https://phillipreeve.net/blog/wideangle-lenses-for-the-sony-alpha-7-series/","Our Guide to Wideangle lenses")</f>
        <v>Our Guide to Wideangle lenses</v>
      </c>
      <c r="G114" s="219"/>
      <c r="H114" s="220"/>
      <c r="J114" s="226"/>
      <c r="T114" s="214"/>
      <c r="U114" s="214"/>
      <c r="V114" s="214"/>
      <c r="W114" s="214"/>
    </row>
    <row r="115" spans="1:23" ht="13">
      <c r="A115" s="312"/>
      <c r="B115" s="312"/>
      <c r="C115" s="170" t="str">
        <f>HYPERLINK("https://phillipreeve.net/blog/guide-to-macro-lenses-for-the-sony-a7-series/","Our Guide to Macro lenses")</f>
        <v>Our Guide to Macro lenses</v>
      </c>
      <c r="G115" s="219"/>
      <c r="H115" s="220"/>
      <c r="J115" s="226"/>
      <c r="T115" s="214"/>
      <c r="U115" s="214"/>
      <c r="V115" s="214"/>
      <c r="W115" s="214"/>
    </row>
    <row r="116" spans="1:23" ht="13">
      <c r="A116" s="223"/>
      <c r="B116" s="223"/>
      <c r="C116" s="170" t="str">
        <f>HYPERLINK("https://phillipreeve.net/blog/user-guide-to-portrait-lenses-sony-a7-series/","Our Guide to Portrait lenses")</f>
        <v>Our Guide to Portrait lenses</v>
      </c>
      <c r="G116" s="219"/>
      <c r="H116" s="220"/>
      <c r="J116" s="226"/>
      <c r="T116" s="214"/>
      <c r="U116" s="214"/>
      <c r="V116" s="214"/>
      <c r="W116" s="214"/>
    </row>
    <row r="117" spans="1:23" ht="13">
      <c r="A117" s="225"/>
      <c r="B117" s="225"/>
      <c r="C117" s="170" t="str">
        <f>HYPERLINK("https://phillipreeve.net/blog/building-a-lens-kit/","Building a lens kit")</f>
        <v>Building a lens kit</v>
      </c>
      <c r="G117" s="219"/>
      <c r="H117" s="220"/>
      <c r="J117" s="226"/>
      <c r="T117" s="214"/>
      <c r="U117" s="214"/>
      <c r="V117" s="214"/>
      <c r="W117" s="214"/>
    </row>
    <row r="118" spans="1:23" ht="13">
      <c r="A118" s="207"/>
      <c r="B118" s="207"/>
      <c r="C118" s="77"/>
      <c r="J118" s="226"/>
      <c r="T118" s="214"/>
      <c r="U118" s="214"/>
      <c r="V118" s="214"/>
      <c r="W118" s="214"/>
    </row>
    <row r="119" spans="1:23" ht="13">
      <c r="A119" s="623"/>
      <c r="B119" s="623"/>
      <c r="C119" s="207" t="s">
        <v>201</v>
      </c>
      <c r="J119" s="226"/>
      <c r="T119" s="214"/>
      <c r="U119" s="214"/>
      <c r="V119" s="214"/>
      <c r="W119" s="214"/>
    </row>
    <row r="120" spans="1:23" ht="13">
      <c r="C120" s="77" t="s">
        <v>202</v>
      </c>
      <c r="J120" s="226"/>
      <c r="T120" s="214"/>
      <c r="U120" s="214"/>
      <c r="V120" s="214"/>
      <c r="W120" s="214"/>
    </row>
    <row r="121" spans="1:23" ht="13">
      <c r="A121" s="207"/>
      <c r="B121" s="207"/>
      <c r="C121" s="77" t="s">
        <v>203</v>
      </c>
      <c r="J121" s="226"/>
      <c r="T121" s="214"/>
      <c r="U121" s="214"/>
      <c r="V121" s="214"/>
      <c r="W121" s="214"/>
    </row>
    <row r="122" spans="1:23" ht="13">
      <c r="A122" s="160"/>
      <c r="B122" s="160"/>
      <c r="C122" s="77" t="s">
        <v>204</v>
      </c>
      <c r="J122" s="226"/>
      <c r="T122" s="214"/>
      <c r="U122" s="214"/>
      <c r="V122" s="214"/>
      <c r="W122" s="214"/>
    </row>
    <row r="123" spans="1:23" ht="13">
      <c r="A123" s="160"/>
      <c r="B123" s="160"/>
      <c r="C123" s="77" t="s">
        <v>205</v>
      </c>
      <c r="J123" s="226"/>
      <c r="T123" s="214"/>
      <c r="U123" s="214"/>
      <c r="V123" s="214"/>
      <c r="W123" s="214"/>
    </row>
    <row r="124" spans="1:23" ht="13">
      <c r="A124" s="160"/>
      <c r="B124" s="160"/>
      <c r="C124" s="233"/>
      <c r="J124" s="226"/>
      <c r="T124" s="214"/>
      <c r="U124" s="214"/>
      <c r="V124" s="214"/>
      <c r="W124" s="214"/>
    </row>
    <row r="125" spans="1:23" ht="13">
      <c r="A125" s="160"/>
      <c r="B125" s="160"/>
      <c r="C125" s="207" t="s">
        <v>142</v>
      </c>
      <c r="J125" s="226"/>
      <c r="T125" s="214"/>
      <c r="U125" s="214"/>
      <c r="V125" s="214"/>
      <c r="W125" s="214"/>
    </row>
    <row r="126" spans="1:23" ht="13">
      <c r="A126" s="160"/>
      <c r="B126" s="160"/>
      <c r="C126" s="77" t="s">
        <v>206</v>
      </c>
      <c r="F126" s="233"/>
      <c r="J126" s="226"/>
      <c r="T126" s="214"/>
      <c r="U126" s="214"/>
      <c r="V126" s="214"/>
      <c r="W126" s="214"/>
    </row>
    <row r="127" spans="1:23" ht="13">
      <c r="A127" s="160"/>
      <c r="B127" s="160"/>
      <c r="C127" s="77" t="s">
        <v>144</v>
      </c>
      <c r="F127" s="233"/>
      <c r="J127" s="226"/>
      <c r="T127" s="214"/>
      <c r="U127" s="214"/>
      <c r="V127" s="214"/>
      <c r="W127" s="214"/>
    </row>
    <row r="128" spans="1:23" ht="13">
      <c r="A128" s="160"/>
      <c r="B128" s="160"/>
      <c r="J128" s="226"/>
      <c r="T128" s="214"/>
      <c r="U128" s="214"/>
      <c r="V128" s="214"/>
      <c r="W128" s="214"/>
    </row>
    <row r="129" spans="1:23" ht="13">
      <c r="A129" s="77"/>
      <c r="B129" s="77"/>
      <c r="C129" s="170" t="str">
        <f>HYPERLINK("https://phillipreeve.net/blog/impressum/","Impressum")</f>
        <v>Impressum</v>
      </c>
      <c r="J129" s="226"/>
      <c r="T129" s="214"/>
      <c r="U129" s="214"/>
      <c r="V129" s="214"/>
      <c r="W129" s="214"/>
    </row>
    <row r="130" spans="1:23" ht="13">
      <c r="A130" s="207"/>
      <c r="B130" s="207"/>
      <c r="J130" s="226"/>
      <c r="T130" s="214"/>
      <c r="U130" s="214"/>
      <c r="V130" s="214"/>
      <c r="W130" s="214"/>
    </row>
    <row r="131" spans="1:23" ht="13">
      <c r="A131" s="77"/>
      <c r="B131" s="77"/>
      <c r="J131" s="226"/>
      <c r="T131" s="214"/>
      <c r="U131" s="214"/>
      <c r="V131" s="214"/>
      <c r="W131" s="214"/>
    </row>
    <row r="132" spans="1:23" ht="13">
      <c r="A132" s="77"/>
      <c r="B132" s="77"/>
      <c r="J132" s="226"/>
      <c r="T132" s="214"/>
      <c r="U132" s="214"/>
      <c r="V132" s="214"/>
      <c r="W132" s="214"/>
    </row>
    <row r="133" spans="1:23" ht="13">
      <c r="A133" s="77"/>
      <c r="B133" s="77"/>
      <c r="J133" s="226"/>
      <c r="T133" s="214"/>
      <c r="U133" s="214"/>
      <c r="V133" s="214"/>
      <c r="W133" s="214"/>
    </row>
    <row r="134" spans="1:23" ht="13">
      <c r="A134" s="77"/>
      <c r="B134" s="77"/>
      <c r="J134" s="226"/>
      <c r="T134" s="214"/>
      <c r="U134" s="214"/>
      <c r="V134" s="214"/>
      <c r="W134" s="214"/>
    </row>
    <row r="135" spans="1:23" ht="13">
      <c r="A135" s="233"/>
      <c r="B135" s="233"/>
      <c r="C135" s="207"/>
      <c r="J135" s="226"/>
      <c r="T135" s="214"/>
      <c r="U135" s="214"/>
      <c r="V135" s="214"/>
      <c r="W135" s="214"/>
    </row>
    <row r="136" spans="1:23" ht="13">
      <c r="A136" s="207"/>
      <c r="B136" s="207"/>
      <c r="C136" s="207"/>
      <c r="J136" s="226"/>
      <c r="T136" s="214"/>
      <c r="U136" s="214"/>
      <c r="V136" s="214"/>
      <c r="W136" s="214"/>
    </row>
    <row r="137" spans="1:23" ht="13">
      <c r="A137" s="77"/>
      <c r="B137" s="77"/>
      <c r="C137" s="207"/>
      <c r="J137" s="226"/>
      <c r="T137" s="214"/>
      <c r="U137" s="214"/>
      <c r="V137" s="214"/>
      <c r="W137" s="214"/>
    </row>
    <row r="138" spans="1:23" ht="13">
      <c r="A138" s="77"/>
      <c r="B138" s="77"/>
      <c r="C138" s="207"/>
      <c r="J138" s="226"/>
      <c r="T138" s="214"/>
      <c r="U138" s="214"/>
      <c r="V138" s="214"/>
      <c r="W138" s="214"/>
    </row>
    <row r="139" spans="1:23" ht="13">
      <c r="C139" s="207"/>
      <c r="J139" s="226"/>
      <c r="T139" s="214"/>
      <c r="U139" s="214"/>
      <c r="V139" s="214"/>
      <c r="W139" s="214"/>
    </row>
    <row r="140" spans="1:23" ht="13">
      <c r="A140" s="160"/>
      <c r="B140" s="160"/>
      <c r="C140" s="207"/>
      <c r="J140" s="226"/>
      <c r="T140" s="214"/>
      <c r="U140" s="214"/>
      <c r="V140" s="214"/>
      <c r="W140" s="214"/>
    </row>
    <row r="141" spans="1:23" ht="13">
      <c r="C141" s="233"/>
      <c r="J141" s="226"/>
      <c r="T141" s="214"/>
      <c r="U141" s="214"/>
      <c r="V141" s="214"/>
      <c r="W141" s="214"/>
    </row>
    <row r="142" spans="1:23" ht="13">
      <c r="C142" s="207"/>
      <c r="J142" s="226"/>
      <c r="T142" s="214"/>
      <c r="U142" s="214"/>
      <c r="V142" s="214"/>
      <c r="W142" s="214"/>
    </row>
    <row r="143" spans="1:23" ht="13">
      <c r="C143" s="207"/>
      <c r="J143" s="226"/>
      <c r="T143" s="214"/>
      <c r="U143" s="214"/>
      <c r="V143" s="214"/>
      <c r="W143" s="214"/>
    </row>
    <row r="144" spans="1:23" ht="13">
      <c r="C144" s="233"/>
      <c r="J144" s="226"/>
      <c r="T144" s="214"/>
      <c r="U144" s="214"/>
      <c r="V144" s="214"/>
      <c r="W144" s="214"/>
    </row>
    <row r="145" spans="1:23" ht="13">
      <c r="C145" s="207"/>
      <c r="J145" s="226"/>
      <c r="T145" s="214"/>
      <c r="U145" s="214"/>
      <c r="V145" s="214"/>
      <c r="W145" s="214"/>
    </row>
    <row r="146" spans="1:23" ht="13">
      <c r="A146" s="207"/>
      <c r="B146" s="207"/>
      <c r="C146" s="207"/>
      <c r="J146" s="226"/>
      <c r="T146" s="214"/>
      <c r="U146" s="214"/>
      <c r="V146" s="214"/>
      <c r="W146" s="214"/>
    </row>
    <row r="147" spans="1:23" ht="13">
      <c r="A147" s="207"/>
      <c r="B147" s="207"/>
      <c r="C147" s="207"/>
      <c r="J147" s="226"/>
      <c r="T147" s="214"/>
      <c r="U147" s="214"/>
      <c r="V147" s="214"/>
      <c r="W147" s="214"/>
    </row>
    <row r="148" spans="1:23" ht="13">
      <c r="A148" s="207"/>
      <c r="B148" s="207"/>
      <c r="C148" s="207"/>
      <c r="J148" s="226"/>
      <c r="T148" s="214"/>
      <c r="U148" s="214"/>
      <c r="V148" s="214"/>
      <c r="W148" s="214"/>
    </row>
    <row r="149" spans="1:23" ht="13">
      <c r="A149" s="207"/>
      <c r="B149" s="207"/>
      <c r="C149" s="207"/>
      <c r="J149" s="226"/>
      <c r="T149" s="214"/>
      <c r="U149" s="214"/>
      <c r="V149" s="214"/>
      <c r="W149" s="214"/>
    </row>
    <row r="150" spans="1:23" ht="13">
      <c r="A150" s="207"/>
      <c r="B150" s="207"/>
      <c r="C150" s="207"/>
      <c r="J150" s="226"/>
      <c r="T150" s="214"/>
      <c r="U150" s="214"/>
      <c r="V150" s="214"/>
      <c r="W150" s="214"/>
    </row>
    <row r="151" spans="1:23" ht="13">
      <c r="A151" s="207"/>
      <c r="B151" s="207"/>
      <c r="C151" s="207"/>
      <c r="J151" s="226"/>
      <c r="T151" s="214"/>
      <c r="U151" s="214"/>
      <c r="V151" s="214"/>
      <c r="W151" s="214"/>
    </row>
    <row r="152" spans="1:23" ht="13">
      <c r="A152" s="233"/>
      <c r="B152" s="233"/>
      <c r="C152" s="207"/>
      <c r="J152" s="226"/>
      <c r="T152" s="214"/>
      <c r="U152" s="214"/>
      <c r="V152" s="214"/>
      <c r="W152" s="214"/>
    </row>
    <row r="153" spans="1:23" ht="13">
      <c r="A153" s="207"/>
      <c r="B153" s="207"/>
      <c r="C153" s="207"/>
      <c r="J153" s="226"/>
      <c r="T153" s="214"/>
      <c r="U153" s="214"/>
      <c r="V153" s="214"/>
      <c r="W153" s="214"/>
    </row>
    <row r="154" spans="1:23" ht="13">
      <c r="A154" s="207"/>
      <c r="B154" s="207"/>
      <c r="C154" s="233"/>
      <c r="J154" s="226"/>
      <c r="T154" s="214"/>
      <c r="U154" s="214"/>
      <c r="V154" s="214"/>
      <c r="W154" s="214"/>
    </row>
    <row r="155" spans="1:23" ht="13">
      <c r="A155" s="233"/>
      <c r="B155" s="233"/>
      <c r="C155" s="233"/>
      <c r="J155" s="226"/>
      <c r="T155" s="214"/>
      <c r="U155" s="214"/>
      <c r="V155" s="214"/>
      <c r="W155" s="214"/>
    </row>
    <row r="156" spans="1:23" ht="13">
      <c r="A156" s="207"/>
      <c r="B156" s="207"/>
      <c r="J156" s="226"/>
      <c r="T156" s="214"/>
      <c r="U156" s="214"/>
      <c r="V156" s="214"/>
      <c r="W156" s="214"/>
    </row>
    <row r="157" spans="1:23" ht="13">
      <c r="A157" s="207"/>
      <c r="B157" s="207"/>
      <c r="J157" s="226"/>
      <c r="T157" s="214"/>
      <c r="U157" s="214"/>
      <c r="V157" s="214"/>
      <c r="W157" s="214"/>
    </row>
    <row r="158" spans="1:23" ht="13">
      <c r="A158" s="207"/>
      <c r="B158" s="207"/>
      <c r="J158" s="226"/>
      <c r="T158" s="214"/>
      <c r="U158" s="214"/>
      <c r="V158" s="214"/>
      <c r="W158" s="214"/>
    </row>
    <row r="159" spans="1:23" ht="13">
      <c r="A159" s="207"/>
      <c r="B159" s="207"/>
      <c r="J159" s="226"/>
      <c r="T159" s="214"/>
      <c r="U159" s="214"/>
      <c r="V159" s="214"/>
      <c r="W159" s="214"/>
    </row>
    <row r="160" spans="1:23" ht="13">
      <c r="A160" s="207"/>
      <c r="B160" s="207"/>
      <c r="J160" s="226"/>
    </row>
    <row r="161" spans="1:10" ht="13">
      <c r="A161" s="207"/>
      <c r="B161" s="207"/>
      <c r="J161" s="226"/>
    </row>
    <row r="162" spans="1:10" ht="13">
      <c r="A162" s="207"/>
      <c r="B162" s="207"/>
      <c r="J162" s="226"/>
    </row>
    <row r="163" spans="1:10" ht="13">
      <c r="A163" s="207"/>
      <c r="B163" s="207"/>
      <c r="J163" s="226"/>
    </row>
    <row r="164" spans="1:10" ht="13">
      <c r="A164" s="207"/>
      <c r="B164" s="207"/>
      <c r="J164" s="226"/>
    </row>
    <row r="165" spans="1:10" ht="13">
      <c r="A165" s="233"/>
      <c r="B165" s="233"/>
      <c r="J165" s="226"/>
    </row>
    <row r="166" spans="1:10" ht="13">
      <c r="A166" s="233"/>
      <c r="B166" s="233"/>
      <c r="J166" s="226"/>
    </row>
    <row r="167" spans="1:10" ht="13">
      <c r="J167" s="226"/>
    </row>
    <row r="168" spans="1:10" ht="13">
      <c r="J168" s="226"/>
    </row>
    <row r="169" spans="1:10" ht="13">
      <c r="J169" s="226"/>
    </row>
    <row r="170" spans="1:10" ht="13">
      <c r="J170" s="226"/>
    </row>
    <row r="171" spans="1:10" ht="13">
      <c r="J171" s="226"/>
    </row>
    <row r="172" spans="1:10" ht="13">
      <c r="J172" s="226"/>
    </row>
    <row r="173" spans="1:10" ht="13">
      <c r="J173" s="226"/>
    </row>
    <row r="174" spans="1:10" ht="13">
      <c r="J174" s="226"/>
    </row>
    <row r="175" spans="1:10" ht="13">
      <c r="J175" s="226"/>
    </row>
    <row r="176" spans="1:10" ht="13">
      <c r="J176" s="226"/>
    </row>
    <row r="177" spans="10:10" ht="13">
      <c r="J177" s="226"/>
    </row>
    <row r="178" spans="10:10" ht="13">
      <c r="J178" s="226"/>
    </row>
    <row r="179" spans="10:10" ht="13">
      <c r="J179" s="226"/>
    </row>
    <row r="180" spans="10:10" ht="13">
      <c r="J180" s="226"/>
    </row>
    <row r="181" spans="10:10" ht="13">
      <c r="J181" s="226"/>
    </row>
    <row r="182" spans="10:10" ht="13">
      <c r="J182" s="226"/>
    </row>
    <row r="183" spans="10:10" ht="13">
      <c r="J183" s="226"/>
    </row>
    <row r="184" spans="10:10" ht="13">
      <c r="J184" s="226"/>
    </row>
    <row r="185" spans="10:10" ht="13">
      <c r="J185" s="226"/>
    </row>
    <row r="186" spans="10:10" ht="13">
      <c r="J186" s="226"/>
    </row>
    <row r="187" spans="10:10" ht="13">
      <c r="J187" s="226"/>
    </row>
    <row r="188" spans="10:10" ht="13">
      <c r="J188" s="226"/>
    </row>
    <row r="189" spans="10:10" ht="13">
      <c r="J189" s="226"/>
    </row>
    <row r="190" spans="10:10" ht="13">
      <c r="J190" s="226"/>
    </row>
    <row r="191" spans="10:10" ht="13">
      <c r="J191" s="226"/>
    </row>
    <row r="192" spans="10:10" ht="13">
      <c r="J192" s="226"/>
    </row>
    <row r="193" spans="10:10" ht="13">
      <c r="J193" s="226"/>
    </row>
    <row r="194" spans="10:10" ht="13">
      <c r="J194" s="226"/>
    </row>
    <row r="195" spans="10:10" ht="13">
      <c r="J195" s="226"/>
    </row>
    <row r="196" spans="10:10" ht="13">
      <c r="J196" s="226"/>
    </row>
    <row r="197" spans="10:10" ht="13">
      <c r="J197" s="226"/>
    </row>
    <row r="198" spans="10:10" ht="13">
      <c r="J198" s="226"/>
    </row>
    <row r="199" spans="10:10" ht="13">
      <c r="J199" s="226"/>
    </row>
    <row r="200" spans="10:10" ht="13">
      <c r="J200" s="226"/>
    </row>
    <row r="201" spans="10:10" ht="13">
      <c r="J201" s="226"/>
    </row>
    <row r="202" spans="10:10" ht="13">
      <c r="J202" s="226"/>
    </row>
    <row r="203" spans="10:10" ht="13">
      <c r="J203" s="226"/>
    </row>
    <row r="204" spans="10:10" ht="13">
      <c r="J204" s="226"/>
    </row>
    <row r="205" spans="10:10" ht="13">
      <c r="J205" s="226"/>
    </row>
    <row r="206" spans="10:10" ht="13">
      <c r="J206" s="226"/>
    </row>
    <row r="207" spans="10:10" ht="13">
      <c r="J207" s="226"/>
    </row>
    <row r="208" spans="10:10" ht="13">
      <c r="J208" s="226"/>
    </row>
    <row r="209" spans="10:10" ht="13">
      <c r="J209" s="226"/>
    </row>
    <row r="210" spans="10:10" ht="13">
      <c r="J210" s="226"/>
    </row>
    <row r="211" spans="10:10" ht="13">
      <c r="J211" s="226"/>
    </row>
    <row r="212" spans="10:10" ht="13">
      <c r="J212" s="226"/>
    </row>
    <row r="213" spans="10:10" ht="13">
      <c r="J213" s="226"/>
    </row>
    <row r="214" spans="10:10" ht="13">
      <c r="J214" s="226"/>
    </row>
    <row r="215" spans="10:10" ht="13">
      <c r="J215" s="226"/>
    </row>
    <row r="216" spans="10:10" ht="13">
      <c r="J216" s="226"/>
    </row>
    <row r="217" spans="10:10" ht="13">
      <c r="J217" s="226"/>
    </row>
    <row r="218" spans="10:10" ht="13">
      <c r="J218" s="226"/>
    </row>
    <row r="219" spans="10:10" ht="13">
      <c r="J219" s="226"/>
    </row>
    <row r="220" spans="10:10" ht="13">
      <c r="J220" s="226"/>
    </row>
    <row r="221" spans="10:10" ht="13">
      <c r="J221" s="226"/>
    </row>
    <row r="222" spans="10:10" ht="13">
      <c r="J222" s="226"/>
    </row>
    <row r="223" spans="10:10" ht="13">
      <c r="J223" s="226"/>
    </row>
    <row r="224" spans="10:10" ht="13">
      <c r="J224" s="226"/>
    </row>
    <row r="225" spans="10:10" ht="13">
      <c r="J225" s="226"/>
    </row>
    <row r="226" spans="10:10" ht="13">
      <c r="J226" s="226"/>
    </row>
    <row r="227" spans="10:10" ht="13">
      <c r="J227" s="226"/>
    </row>
    <row r="228" spans="10:10" ht="13">
      <c r="J228" s="226"/>
    </row>
    <row r="229" spans="10:10" ht="13">
      <c r="J229" s="226"/>
    </row>
    <row r="230" spans="10:10" ht="13">
      <c r="J230" s="226"/>
    </row>
    <row r="231" spans="10:10" ht="13">
      <c r="J231" s="226"/>
    </row>
    <row r="232" spans="10:10" ht="13">
      <c r="J232" s="226"/>
    </row>
    <row r="233" spans="10:10" ht="13">
      <c r="J233" s="226"/>
    </row>
    <row r="234" spans="10:10" ht="13">
      <c r="J234" s="226"/>
    </row>
    <row r="235" spans="10:10" ht="13">
      <c r="J235" s="226"/>
    </row>
    <row r="236" spans="10:10" ht="13">
      <c r="J236" s="226"/>
    </row>
    <row r="237" spans="10:10" ht="13">
      <c r="J237" s="226"/>
    </row>
    <row r="238" spans="10:10" ht="13">
      <c r="J238" s="226"/>
    </row>
    <row r="239" spans="10:10" ht="13">
      <c r="J239" s="226"/>
    </row>
    <row r="240" spans="10:10" ht="13">
      <c r="J240" s="226"/>
    </row>
    <row r="241" spans="10:10" ht="13">
      <c r="J241" s="226"/>
    </row>
    <row r="242" spans="10:10" ht="13">
      <c r="J242" s="226"/>
    </row>
    <row r="243" spans="10:10" ht="13">
      <c r="J243" s="226"/>
    </row>
    <row r="244" spans="10:10" ht="13">
      <c r="J244" s="226"/>
    </row>
    <row r="245" spans="10:10" ht="13">
      <c r="J245" s="226"/>
    </row>
    <row r="246" spans="10:10" ht="13">
      <c r="J246" s="226"/>
    </row>
    <row r="247" spans="10:10" ht="13">
      <c r="J247" s="226"/>
    </row>
    <row r="248" spans="10:10" ht="13">
      <c r="J248" s="226"/>
    </row>
    <row r="249" spans="10:10" ht="13">
      <c r="J249" s="226"/>
    </row>
    <row r="250" spans="10:10" ht="13">
      <c r="J250" s="226"/>
    </row>
    <row r="251" spans="10:10" ht="13">
      <c r="J251" s="226"/>
    </row>
    <row r="252" spans="10:10" ht="13">
      <c r="J252" s="226"/>
    </row>
    <row r="253" spans="10:10" ht="13">
      <c r="J253" s="226"/>
    </row>
    <row r="254" spans="10:10" ht="13">
      <c r="J254" s="226"/>
    </row>
    <row r="255" spans="10:10" ht="13">
      <c r="J255" s="226"/>
    </row>
    <row r="256" spans="10:10" ht="13">
      <c r="J256" s="226"/>
    </row>
    <row r="257" spans="10:10" ht="13">
      <c r="J257" s="226"/>
    </row>
    <row r="258" spans="10:10" ht="13">
      <c r="J258" s="226"/>
    </row>
    <row r="259" spans="10:10" ht="13">
      <c r="J259" s="226"/>
    </row>
    <row r="260" spans="10:10" ht="13">
      <c r="J260" s="226"/>
    </row>
    <row r="261" spans="10:10" ht="13">
      <c r="J261" s="226"/>
    </row>
    <row r="262" spans="10:10" ht="13">
      <c r="J262" s="226"/>
    </row>
    <row r="263" spans="10:10" ht="13">
      <c r="J263" s="226"/>
    </row>
    <row r="264" spans="10:10" ht="13">
      <c r="J264" s="226"/>
    </row>
    <row r="265" spans="10:10" ht="13">
      <c r="J265" s="226"/>
    </row>
    <row r="266" spans="10:10" ht="13">
      <c r="J266" s="226"/>
    </row>
    <row r="267" spans="10:10" ht="13">
      <c r="J267" s="226"/>
    </row>
    <row r="268" spans="10:10" ht="13">
      <c r="J268" s="226"/>
    </row>
    <row r="269" spans="10:10" ht="13">
      <c r="J269" s="226"/>
    </row>
    <row r="270" spans="10:10" ht="13">
      <c r="J270" s="226"/>
    </row>
    <row r="271" spans="10:10" ht="13">
      <c r="J271" s="226"/>
    </row>
    <row r="272" spans="10:10" ht="13">
      <c r="J272" s="226"/>
    </row>
    <row r="273" spans="10:10" ht="13">
      <c r="J273" s="226"/>
    </row>
    <row r="274" spans="10:10" ht="13">
      <c r="J274" s="226"/>
    </row>
    <row r="275" spans="10:10" ht="13">
      <c r="J275" s="226"/>
    </row>
    <row r="276" spans="10:10" ht="13">
      <c r="J276" s="226"/>
    </row>
    <row r="277" spans="10:10" ht="13">
      <c r="J277" s="226"/>
    </row>
    <row r="278" spans="10:10" ht="13">
      <c r="J278" s="226"/>
    </row>
    <row r="279" spans="10:10" ht="13">
      <c r="J279" s="226"/>
    </row>
    <row r="280" spans="10:10" ht="13">
      <c r="J280" s="226"/>
    </row>
    <row r="281" spans="10:10" ht="13">
      <c r="J281" s="226"/>
    </row>
    <row r="282" spans="10:10" ht="13">
      <c r="J282" s="226"/>
    </row>
    <row r="283" spans="10:10" ht="13">
      <c r="J283" s="226"/>
    </row>
    <row r="284" spans="10:10" ht="13">
      <c r="J284" s="226"/>
    </row>
    <row r="285" spans="10:10" ht="13">
      <c r="J285" s="226"/>
    </row>
    <row r="286" spans="10:10" ht="13">
      <c r="J286" s="226"/>
    </row>
    <row r="287" spans="10:10" ht="13">
      <c r="J287" s="226"/>
    </row>
    <row r="288" spans="10:10" ht="13">
      <c r="J288" s="226"/>
    </row>
    <row r="289" spans="10:10" ht="13">
      <c r="J289" s="226"/>
    </row>
    <row r="290" spans="10:10" ht="13">
      <c r="J290" s="226"/>
    </row>
    <row r="291" spans="10:10" ht="13">
      <c r="J291" s="226"/>
    </row>
    <row r="292" spans="10:10" ht="13">
      <c r="J292" s="226"/>
    </row>
    <row r="293" spans="10:10" ht="13">
      <c r="J293" s="226"/>
    </row>
    <row r="294" spans="10:10" ht="13">
      <c r="J294" s="226"/>
    </row>
    <row r="295" spans="10:10" ht="13">
      <c r="J295" s="226"/>
    </row>
    <row r="296" spans="10:10" ht="13">
      <c r="J296" s="226"/>
    </row>
    <row r="297" spans="10:10" ht="13">
      <c r="J297" s="226"/>
    </row>
    <row r="298" spans="10:10" ht="13">
      <c r="J298" s="226"/>
    </row>
    <row r="299" spans="10:10" ht="13">
      <c r="J299" s="226"/>
    </row>
    <row r="300" spans="10:10" ht="13">
      <c r="J300" s="226"/>
    </row>
    <row r="301" spans="10:10" ht="13">
      <c r="J301" s="226"/>
    </row>
    <row r="302" spans="10:10" ht="13">
      <c r="J302" s="226"/>
    </row>
    <row r="303" spans="10:10" ht="13">
      <c r="J303" s="226"/>
    </row>
    <row r="304" spans="10:10" ht="13">
      <c r="J304" s="226"/>
    </row>
    <row r="305" spans="10:10" ht="13">
      <c r="J305" s="226"/>
    </row>
    <row r="306" spans="10:10" ht="13">
      <c r="J306" s="226"/>
    </row>
    <row r="307" spans="10:10" ht="13">
      <c r="J307" s="226"/>
    </row>
    <row r="308" spans="10:10" ht="13">
      <c r="J308" s="226"/>
    </row>
    <row r="309" spans="10:10" ht="13">
      <c r="J309" s="226"/>
    </row>
    <row r="310" spans="10:10" ht="13">
      <c r="J310" s="226"/>
    </row>
    <row r="311" spans="10:10" ht="13">
      <c r="J311" s="226"/>
    </row>
    <row r="312" spans="10:10" ht="13">
      <c r="J312" s="226"/>
    </row>
    <row r="313" spans="10:10" ht="13">
      <c r="J313" s="226"/>
    </row>
    <row r="314" spans="10:10" ht="13">
      <c r="J314" s="226"/>
    </row>
    <row r="315" spans="10:10" ht="13">
      <c r="J315" s="226"/>
    </row>
    <row r="316" spans="10:10" ht="13">
      <c r="J316" s="226"/>
    </row>
    <row r="317" spans="10:10" ht="13">
      <c r="J317" s="226"/>
    </row>
    <row r="318" spans="10:10" ht="13">
      <c r="J318" s="226"/>
    </row>
    <row r="319" spans="10:10" ht="13">
      <c r="J319" s="226"/>
    </row>
    <row r="320" spans="10:10" ht="13">
      <c r="J320" s="226"/>
    </row>
    <row r="321" spans="10:10" ht="13">
      <c r="J321" s="226"/>
    </row>
    <row r="322" spans="10:10" ht="13">
      <c r="J322" s="226"/>
    </row>
    <row r="323" spans="10:10" ht="13">
      <c r="J323" s="226"/>
    </row>
    <row r="324" spans="10:10" ht="13">
      <c r="J324" s="226"/>
    </row>
    <row r="325" spans="10:10" ht="13">
      <c r="J325" s="226"/>
    </row>
    <row r="326" spans="10:10" ht="13">
      <c r="J326" s="226"/>
    </row>
    <row r="327" spans="10:10" ht="13">
      <c r="J327" s="226"/>
    </row>
    <row r="328" spans="10:10" ht="13">
      <c r="J328" s="226"/>
    </row>
    <row r="329" spans="10:10" ht="13">
      <c r="J329" s="226"/>
    </row>
    <row r="330" spans="10:10" ht="13">
      <c r="J330" s="226"/>
    </row>
    <row r="331" spans="10:10" ht="13">
      <c r="J331" s="226"/>
    </row>
    <row r="332" spans="10:10" ht="13">
      <c r="J332" s="226"/>
    </row>
    <row r="333" spans="10:10" ht="13">
      <c r="J333" s="226"/>
    </row>
    <row r="334" spans="10:10" ht="13">
      <c r="J334" s="226"/>
    </row>
    <row r="335" spans="10:10" ht="13">
      <c r="J335" s="226"/>
    </row>
    <row r="336" spans="10:10" ht="13">
      <c r="J336" s="226"/>
    </row>
    <row r="337" spans="10:10" ht="13">
      <c r="J337" s="226"/>
    </row>
    <row r="338" spans="10:10" ht="13">
      <c r="J338" s="226"/>
    </row>
    <row r="339" spans="10:10" ht="13">
      <c r="J339" s="226"/>
    </row>
    <row r="340" spans="10:10" ht="13">
      <c r="J340" s="226"/>
    </row>
    <row r="341" spans="10:10" ht="13">
      <c r="J341" s="226"/>
    </row>
    <row r="342" spans="10:10" ht="13">
      <c r="J342" s="226"/>
    </row>
    <row r="343" spans="10:10" ht="13">
      <c r="J343" s="226"/>
    </row>
    <row r="344" spans="10:10" ht="13">
      <c r="J344" s="226"/>
    </row>
    <row r="345" spans="10:10" ht="13">
      <c r="J345" s="226"/>
    </row>
    <row r="346" spans="10:10" ht="13">
      <c r="J346" s="226"/>
    </row>
    <row r="347" spans="10:10" ht="13">
      <c r="J347" s="226"/>
    </row>
    <row r="348" spans="10:10" ht="13">
      <c r="J348" s="226"/>
    </row>
    <row r="349" spans="10:10" ht="13">
      <c r="J349" s="226"/>
    </row>
    <row r="350" spans="10:10" ht="13">
      <c r="J350" s="226"/>
    </row>
    <row r="351" spans="10:10" ht="13">
      <c r="J351" s="226"/>
    </row>
    <row r="352" spans="10:10" ht="13">
      <c r="J352" s="226"/>
    </row>
    <row r="353" spans="10:10" ht="13">
      <c r="J353" s="226"/>
    </row>
    <row r="354" spans="10:10" ht="13">
      <c r="J354" s="226"/>
    </row>
    <row r="355" spans="10:10" ht="13">
      <c r="J355" s="226"/>
    </row>
    <row r="356" spans="10:10" ht="13">
      <c r="J356" s="226"/>
    </row>
    <row r="357" spans="10:10" ht="13">
      <c r="J357" s="226"/>
    </row>
    <row r="358" spans="10:10" ht="13">
      <c r="J358" s="226"/>
    </row>
    <row r="359" spans="10:10" ht="13">
      <c r="J359" s="226"/>
    </row>
    <row r="360" spans="10:10" ht="13">
      <c r="J360" s="226"/>
    </row>
    <row r="361" spans="10:10" ht="13">
      <c r="J361" s="226"/>
    </row>
    <row r="362" spans="10:10" ht="13">
      <c r="J362" s="226"/>
    </row>
    <row r="363" spans="10:10" ht="13">
      <c r="J363" s="226"/>
    </row>
    <row r="364" spans="10:10" ht="13">
      <c r="J364" s="226"/>
    </row>
    <row r="365" spans="10:10" ht="13">
      <c r="J365" s="226"/>
    </row>
    <row r="366" spans="10:10" ht="13">
      <c r="J366" s="226"/>
    </row>
    <row r="367" spans="10:10" ht="13">
      <c r="J367" s="226"/>
    </row>
    <row r="368" spans="10:10" ht="13">
      <c r="J368" s="226"/>
    </row>
    <row r="369" spans="10:10" ht="13">
      <c r="J369" s="226"/>
    </row>
    <row r="370" spans="10:10" ht="13">
      <c r="J370" s="226"/>
    </row>
    <row r="371" spans="10:10" ht="13">
      <c r="J371" s="226"/>
    </row>
    <row r="372" spans="10:10" ht="13">
      <c r="J372" s="226"/>
    </row>
    <row r="373" spans="10:10" ht="13">
      <c r="J373" s="226"/>
    </row>
    <row r="374" spans="10:10" ht="13">
      <c r="J374" s="226"/>
    </row>
    <row r="375" spans="10:10" ht="13">
      <c r="J375" s="226"/>
    </row>
    <row r="376" spans="10:10" ht="13">
      <c r="J376" s="226"/>
    </row>
    <row r="377" spans="10:10" ht="13">
      <c r="J377" s="226"/>
    </row>
    <row r="378" spans="10:10" ht="13">
      <c r="J378" s="226"/>
    </row>
    <row r="379" spans="10:10" ht="13">
      <c r="J379" s="226"/>
    </row>
    <row r="380" spans="10:10" ht="13">
      <c r="J380" s="226"/>
    </row>
    <row r="381" spans="10:10" ht="13">
      <c r="J381" s="226"/>
    </row>
    <row r="382" spans="10:10" ht="13">
      <c r="J382" s="226"/>
    </row>
    <row r="383" spans="10:10" ht="13">
      <c r="J383" s="226"/>
    </row>
    <row r="384" spans="10:10" ht="13">
      <c r="J384" s="226"/>
    </row>
    <row r="385" spans="10:10" ht="13">
      <c r="J385" s="226"/>
    </row>
    <row r="386" spans="10:10" ht="13">
      <c r="J386" s="226"/>
    </row>
    <row r="387" spans="10:10" ht="13">
      <c r="J387" s="226"/>
    </row>
    <row r="388" spans="10:10" ht="13">
      <c r="J388" s="226"/>
    </row>
    <row r="389" spans="10:10" ht="13">
      <c r="J389" s="226"/>
    </row>
    <row r="390" spans="10:10" ht="13">
      <c r="J390" s="226"/>
    </row>
    <row r="391" spans="10:10" ht="13">
      <c r="J391" s="226"/>
    </row>
    <row r="392" spans="10:10" ht="13">
      <c r="J392" s="226"/>
    </row>
    <row r="393" spans="10:10" ht="13">
      <c r="J393" s="226"/>
    </row>
    <row r="394" spans="10:10" ht="13">
      <c r="J394" s="226"/>
    </row>
    <row r="395" spans="10:10" ht="13">
      <c r="J395" s="226"/>
    </row>
    <row r="396" spans="10:10" ht="13">
      <c r="J396" s="226"/>
    </row>
    <row r="397" spans="10:10" ht="13">
      <c r="J397" s="226"/>
    </row>
    <row r="398" spans="10:10" ht="13">
      <c r="J398" s="226"/>
    </row>
    <row r="399" spans="10:10" ht="13">
      <c r="J399" s="226"/>
    </row>
    <row r="400" spans="10:10" ht="13">
      <c r="J400" s="226"/>
    </row>
    <row r="401" spans="10:10" ht="13">
      <c r="J401" s="226"/>
    </row>
    <row r="402" spans="10:10" ht="13">
      <c r="J402" s="226"/>
    </row>
    <row r="403" spans="10:10" ht="13">
      <c r="J403" s="226"/>
    </row>
    <row r="404" spans="10:10" ht="13">
      <c r="J404" s="226"/>
    </row>
    <row r="405" spans="10:10" ht="13">
      <c r="J405" s="226"/>
    </row>
    <row r="406" spans="10:10" ht="13">
      <c r="J406" s="226"/>
    </row>
    <row r="407" spans="10:10" ht="13">
      <c r="J407" s="226"/>
    </row>
    <row r="408" spans="10:10" ht="13">
      <c r="J408" s="226"/>
    </row>
    <row r="409" spans="10:10" ht="13">
      <c r="J409" s="226"/>
    </row>
    <row r="410" spans="10:10" ht="13">
      <c r="J410" s="226"/>
    </row>
    <row r="411" spans="10:10" ht="13">
      <c r="J411" s="226"/>
    </row>
    <row r="412" spans="10:10" ht="13">
      <c r="J412" s="226"/>
    </row>
    <row r="413" spans="10:10" ht="13">
      <c r="J413" s="226"/>
    </row>
    <row r="414" spans="10:10" ht="13">
      <c r="J414" s="226"/>
    </row>
    <row r="415" spans="10:10" ht="13">
      <c r="J415" s="226"/>
    </row>
    <row r="416" spans="10:10" ht="13">
      <c r="J416" s="226"/>
    </row>
    <row r="417" spans="10:10" ht="13">
      <c r="J417" s="226"/>
    </row>
    <row r="418" spans="10:10" ht="13">
      <c r="J418" s="226"/>
    </row>
    <row r="419" spans="10:10" ht="13">
      <c r="J419" s="226"/>
    </row>
    <row r="420" spans="10:10" ht="13">
      <c r="J420" s="226"/>
    </row>
    <row r="421" spans="10:10" ht="13">
      <c r="J421" s="226"/>
    </row>
    <row r="422" spans="10:10" ht="13">
      <c r="J422" s="226"/>
    </row>
    <row r="423" spans="10:10" ht="13">
      <c r="J423" s="226"/>
    </row>
    <row r="424" spans="10:10" ht="13">
      <c r="J424" s="226"/>
    </row>
    <row r="425" spans="10:10" ht="13">
      <c r="J425" s="226"/>
    </row>
    <row r="426" spans="10:10" ht="13">
      <c r="J426" s="226"/>
    </row>
    <row r="427" spans="10:10" ht="13">
      <c r="J427" s="226"/>
    </row>
    <row r="428" spans="10:10" ht="13">
      <c r="J428" s="226"/>
    </row>
    <row r="429" spans="10:10" ht="13">
      <c r="J429" s="226"/>
    </row>
    <row r="430" spans="10:10" ht="13">
      <c r="J430" s="226"/>
    </row>
    <row r="431" spans="10:10" ht="13">
      <c r="J431" s="226"/>
    </row>
    <row r="432" spans="10:10" ht="13">
      <c r="J432" s="226"/>
    </row>
    <row r="433" spans="10:10" ht="13">
      <c r="J433" s="226"/>
    </row>
    <row r="434" spans="10:10" ht="13">
      <c r="J434" s="226"/>
    </row>
    <row r="435" spans="10:10" ht="13">
      <c r="J435" s="226"/>
    </row>
    <row r="436" spans="10:10" ht="13">
      <c r="J436" s="226"/>
    </row>
    <row r="437" spans="10:10" ht="13">
      <c r="J437" s="226"/>
    </row>
    <row r="438" spans="10:10" ht="13">
      <c r="J438" s="226"/>
    </row>
    <row r="439" spans="10:10" ht="13">
      <c r="J439" s="226"/>
    </row>
    <row r="440" spans="10:10" ht="13">
      <c r="J440" s="226"/>
    </row>
    <row r="441" spans="10:10" ht="13">
      <c r="J441" s="226"/>
    </row>
    <row r="442" spans="10:10" ht="13">
      <c r="J442" s="226"/>
    </row>
    <row r="443" spans="10:10" ht="13">
      <c r="J443" s="226"/>
    </row>
    <row r="444" spans="10:10" ht="13">
      <c r="J444" s="226"/>
    </row>
    <row r="445" spans="10:10" ht="13">
      <c r="J445" s="226"/>
    </row>
    <row r="446" spans="10:10" ht="13">
      <c r="J446" s="226"/>
    </row>
    <row r="447" spans="10:10" ht="13">
      <c r="J447" s="226"/>
    </row>
    <row r="448" spans="10:10" ht="13">
      <c r="J448" s="226"/>
    </row>
    <row r="449" spans="10:10" ht="13">
      <c r="J449" s="226"/>
    </row>
    <row r="450" spans="10:10" ht="13">
      <c r="J450" s="226"/>
    </row>
    <row r="451" spans="10:10" ht="13">
      <c r="J451" s="226"/>
    </row>
    <row r="452" spans="10:10" ht="13">
      <c r="J452" s="226"/>
    </row>
    <row r="453" spans="10:10" ht="13">
      <c r="J453" s="226"/>
    </row>
    <row r="454" spans="10:10" ht="13">
      <c r="J454" s="226"/>
    </row>
    <row r="455" spans="10:10" ht="13">
      <c r="J455" s="226"/>
    </row>
    <row r="456" spans="10:10" ht="13">
      <c r="J456" s="226"/>
    </row>
    <row r="457" spans="10:10" ht="13">
      <c r="J457" s="226"/>
    </row>
    <row r="458" spans="10:10" ht="13">
      <c r="J458" s="226"/>
    </row>
    <row r="459" spans="10:10" ht="13">
      <c r="J459" s="226"/>
    </row>
    <row r="460" spans="10:10" ht="13">
      <c r="J460" s="226"/>
    </row>
    <row r="461" spans="10:10" ht="13">
      <c r="J461" s="226"/>
    </row>
    <row r="462" spans="10:10" ht="13">
      <c r="J462" s="226"/>
    </row>
    <row r="463" spans="10:10" ht="13">
      <c r="J463" s="226"/>
    </row>
    <row r="464" spans="10:10" ht="13">
      <c r="J464" s="226"/>
    </row>
    <row r="465" spans="10:10" ht="13">
      <c r="J465" s="226"/>
    </row>
    <row r="466" spans="10:10" ht="13">
      <c r="J466" s="226"/>
    </row>
    <row r="467" spans="10:10" ht="13">
      <c r="J467" s="226"/>
    </row>
    <row r="468" spans="10:10" ht="13">
      <c r="J468" s="226"/>
    </row>
    <row r="469" spans="10:10" ht="13">
      <c r="J469" s="226"/>
    </row>
    <row r="470" spans="10:10" ht="13">
      <c r="J470" s="226"/>
    </row>
    <row r="471" spans="10:10" ht="13">
      <c r="J471" s="226"/>
    </row>
    <row r="472" spans="10:10" ht="13">
      <c r="J472" s="226"/>
    </row>
    <row r="473" spans="10:10" ht="13">
      <c r="J473" s="226"/>
    </row>
    <row r="474" spans="10:10" ht="13">
      <c r="J474" s="226"/>
    </row>
    <row r="475" spans="10:10" ht="13">
      <c r="J475" s="226"/>
    </row>
    <row r="476" spans="10:10" ht="13">
      <c r="J476" s="226"/>
    </row>
    <row r="477" spans="10:10" ht="13">
      <c r="J477" s="226"/>
    </row>
    <row r="478" spans="10:10" ht="13">
      <c r="J478" s="226"/>
    </row>
    <row r="479" spans="10:10" ht="13">
      <c r="J479" s="226"/>
    </row>
    <row r="480" spans="10:10" ht="13">
      <c r="J480" s="226"/>
    </row>
    <row r="481" spans="10:10" ht="13">
      <c r="J481" s="226"/>
    </row>
    <row r="482" spans="10:10" ht="13">
      <c r="J482" s="226"/>
    </row>
    <row r="483" spans="10:10" ht="13">
      <c r="J483" s="226"/>
    </row>
    <row r="484" spans="10:10" ht="13">
      <c r="J484" s="226"/>
    </row>
    <row r="485" spans="10:10" ht="13">
      <c r="J485" s="226"/>
    </row>
    <row r="486" spans="10:10" ht="13">
      <c r="J486" s="226"/>
    </row>
    <row r="487" spans="10:10" ht="13">
      <c r="J487" s="226"/>
    </row>
    <row r="488" spans="10:10" ht="13">
      <c r="J488" s="226"/>
    </row>
    <row r="489" spans="10:10" ht="13">
      <c r="J489" s="226"/>
    </row>
    <row r="490" spans="10:10" ht="13">
      <c r="J490" s="226"/>
    </row>
    <row r="491" spans="10:10" ht="13">
      <c r="J491" s="226"/>
    </row>
    <row r="492" spans="10:10" ht="13">
      <c r="J492" s="226"/>
    </row>
    <row r="493" spans="10:10" ht="13">
      <c r="J493" s="226"/>
    </row>
    <row r="494" spans="10:10" ht="13">
      <c r="J494" s="226"/>
    </row>
    <row r="495" spans="10:10" ht="13">
      <c r="J495" s="226"/>
    </row>
    <row r="496" spans="10:10" ht="13">
      <c r="J496" s="226"/>
    </row>
    <row r="497" spans="10:10" ht="13">
      <c r="J497" s="226"/>
    </row>
    <row r="498" spans="10:10" ht="13">
      <c r="J498" s="226"/>
    </row>
    <row r="499" spans="10:10" ht="13">
      <c r="J499" s="226"/>
    </row>
    <row r="500" spans="10:10" ht="13">
      <c r="J500" s="226"/>
    </row>
    <row r="501" spans="10:10" ht="13">
      <c r="J501" s="226"/>
    </row>
    <row r="502" spans="10:10" ht="13">
      <c r="J502" s="226"/>
    </row>
    <row r="503" spans="10:10" ht="13">
      <c r="J503" s="226"/>
    </row>
    <row r="504" spans="10:10" ht="13">
      <c r="J504" s="226"/>
    </row>
    <row r="505" spans="10:10" ht="13">
      <c r="J505" s="226"/>
    </row>
    <row r="506" spans="10:10" ht="13">
      <c r="J506" s="226"/>
    </row>
    <row r="507" spans="10:10" ht="13">
      <c r="J507" s="226"/>
    </row>
    <row r="508" spans="10:10" ht="13">
      <c r="J508" s="226"/>
    </row>
    <row r="509" spans="10:10" ht="13">
      <c r="J509" s="226"/>
    </row>
    <row r="510" spans="10:10" ht="13">
      <c r="J510" s="226"/>
    </row>
    <row r="511" spans="10:10" ht="13">
      <c r="J511" s="226"/>
    </row>
    <row r="512" spans="10:10" ht="13">
      <c r="J512" s="226"/>
    </row>
    <row r="513" spans="10:10" ht="13">
      <c r="J513" s="226"/>
    </row>
    <row r="514" spans="10:10" ht="13">
      <c r="J514" s="226"/>
    </row>
    <row r="515" spans="10:10" ht="13">
      <c r="J515" s="226"/>
    </row>
    <row r="516" spans="10:10" ht="13">
      <c r="J516" s="226"/>
    </row>
    <row r="517" spans="10:10" ht="13">
      <c r="J517" s="226"/>
    </row>
    <row r="518" spans="10:10" ht="13">
      <c r="J518" s="226"/>
    </row>
    <row r="519" spans="10:10" ht="13">
      <c r="J519" s="226"/>
    </row>
    <row r="520" spans="10:10" ht="13">
      <c r="J520" s="226"/>
    </row>
    <row r="521" spans="10:10" ht="13">
      <c r="J521" s="226"/>
    </row>
    <row r="522" spans="10:10" ht="13">
      <c r="J522" s="226"/>
    </row>
    <row r="523" spans="10:10" ht="13">
      <c r="J523" s="226"/>
    </row>
    <row r="524" spans="10:10" ht="13">
      <c r="J524" s="226"/>
    </row>
    <row r="525" spans="10:10" ht="13">
      <c r="J525" s="226"/>
    </row>
    <row r="526" spans="10:10" ht="13">
      <c r="J526" s="226"/>
    </row>
    <row r="527" spans="10:10" ht="13">
      <c r="J527" s="226"/>
    </row>
    <row r="528" spans="10:10" ht="13">
      <c r="J528" s="226"/>
    </row>
    <row r="529" spans="10:10" ht="13">
      <c r="J529" s="226"/>
    </row>
    <row r="530" spans="10:10" ht="13">
      <c r="J530" s="226"/>
    </row>
    <row r="531" spans="10:10" ht="13">
      <c r="J531" s="226"/>
    </row>
    <row r="532" spans="10:10" ht="13">
      <c r="J532" s="226"/>
    </row>
    <row r="533" spans="10:10" ht="13">
      <c r="J533" s="226"/>
    </row>
    <row r="534" spans="10:10" ht="13">
      <c r="J534" s="226"/>
    </row>
    <row r="535" spans="10:10" ht="13">
      <c r="J535" s="226"/>
    </row>
    <row r="536" spans="10:10" ht="13">
      <c r="J536" s="226"/>
    </row>
    <row r="537" spans="10:10" ht="13">
      <c r="J537" s="226"/>
    </row>
    <row r="538" spans="10:10" ht="13">
      <c r="J538" s="226"/>
    </row>
    <row r="539" spans="10:10" ht="13">
      <c r="J539" s="226"/>
    </row>
    <row r="540" spans="10:10" ht="13">
      <c r="J540" s="226"/>
    </row>
    <row r="541" spans="10:10" ht="13">
      <c r="J541" s="226"/>
    </row>
    <row r="542" spans="10:10" ht="13">
      <c r="J542" s="226"/>
    </row>
    <row r="543" spans="10:10" ht="13">
      <c r="J543" s="226"/>
    </row>
    <row r="544" spans="10:10" ht="13">
      <c r="J544" s="226"/>
    </row>
    <row r="545" spans="10:10" ht="13">
      <c r="J545" s="226"/>
    </row>
    <row r="546" spans="10:10" ht="13">
      <c r="J546" s="226"/>
    </row>
    <row r="547" spans="10:10" ht="13">
      <c r="J547" s="226"/>
    </row>
    <row r="548" spans="10:10" ht="13">
      <c r="J548" s="226"/>
    </row>
    <row r="549" spans="10:10" ht="13">
      <c r="J549" s="226"/>
    </row>
    <row r="550" spans="10:10" ht="13">
      <c r="J550" s="226"/>
    </row>
    <row r="551" spans="10:10" ht="13">
      <c r="J551" s="226"/>
    </row>
    <row r="552" spans="10:10" ht="13">
      <c r="J552" s="226"/>
    </row>
    <row r="553" spans="10:10" ht="13">
      <c r="J553" s="226"/>
    </row>
    <row r="554" spans="10:10" ht="13">
      <c r="J554" s="226"/>
    </row>
    <row r="555" spans="10:10" ht="13">
      <c r="J555" s="226"/>
    </row>
    <row r="556" spans="10:10" ht="13">
      <c r="J556" s="226"/>
    </row>
    <row r="557" spans="10:10" ht="13">
      <c r="J557" s="226"/>
    </row>
    <row r="558" spans="10:10" ht="13">
      <c r="J558" s="226"/>
    </row>
    <row r="559" spans="10:10" ht="13">
      <c r="J559" s="226"/>
    </row>
    <row r="560" spans="10:10" ht="13">
      <c r="J560" s="226"/>
    </row>
    <row r="561" spans="10:10" ht="13">
      <c r="J561" s="226"/>
    </row>
    <row r="562" spans="10:10" ht="13">
      <c r="J562" s="226"/>
    </row>
    <row r="563" spans="10:10" ht="13">
      <c r="J563" s="226"/>
    </row>
    <row r="564" spans="10:10" ht="13">
      <c r="J564" s="226"/>
    </row>
    <row r="565" spans="10:10" ht="13">
      <c r="J565" s="226"/>
    </row>
    <row r="566" spans="10:10" ht="13">
      <c r="J566" s="226"/>
    </row>
    <row r="567" spans="10:10" ht="13">
      <c r="J567" s="226"/>
    </row>
    <row r="568" spans="10:10" ht="13">
      <c r="J568" s="226"/>
    </row>
    <row r="569" spans="10:10" ht="13">
      <c r="J569" s="226"/>
    </row>
    <row r="570" spans="10:10" ht="13">
      <c r="J570" s="226"/>
    </row>
    <row r="571" spans="10:10" ht="13">
      <c r="J571" s="226"/>
    </row>
    <row r="572" spans="10:10" ht="13">
      <c r="J572" s="226"/>
    </row>
    <row r="573" spans="10:10" ht="13">
      <c r="J573" s="226"/>
    </row>
    <row r="574" spans="10:10" ht="13">
      <c r="J574" s="226"/>
    </row>
    <row r="575" spans="10:10" ht="13">
      <c r="J575" s="226"/>
    </row>
    <row r="576" spans="10:10" ht="13">
      <c r="J576" s="226"/>
    </row>
    <row r="577" spans="10:10" ht="13">
      <c r="J577" s="226"/>
    </row>
    <row r="578" spans="10:10" ht="13">
      <c r="J578" s="226"/>
    </row>
    <row r="579" spans="10:10" ht="13">
      <c r="J579" s="226"/>
    </row>
    <row r="580" spans="10:10" ht="13">
      <c r="J580" s="226"/>
    </row>
    <row r="581" spans="10:10" ht="13">
      <c r="J581" s="226"/>
    </row>
    <row r="582" spans="10:10" ht="13">
      <c r="J582" s="226"/>
    </row>
    <row r="583" spans="10:10" ht="13">
      <c r="J583" s="226"/>
    </row>
    <row r="584" spans="10:10" ht="13">
      <c r="J584" s="226"/>
    </row>
    <row r="585" spans="10:10" ht="13">
      <c r="J585" s="226"/>
    </row>
    <row r="586" spans="10:10" ht="13">
      <c r="J586" s="226"/>
    </row>
    <row r="587" spans="10:10" ht="13">
      <c r="J587" s="226"/>
    </row>
    <row r="588" spans="10:10" ht="13">
      <c r="J588" s="226"/>
    </row>
    <row r="589" spans="10:10" ht="13">
      <c r="J589" s="226"/>
    </row>
    <row r="590" spans="10:10" ht="13">
      <c r="J590" s="226"/>
    </row>
    <row r="591" spans="10:10" ht="13">
      <c r="J591" s="226"/>
    </row>
    <row r="592" spans="10:10" ht="13">
      <c r="J592" s="226"/>
    </row>
    <row r="593" spans="10:10" ht="13">
      <c r="J593" s="226"/>
    </row>
    <row r="594" spans="10:10" ht="13">
      <c r="J594" s="226"/>
    </row>
    <row r="595" spans="10:10" ht="13">
      <c r="J595" s="226"/>
    </row>
    <row r="596" spans="10:10" ht="13">
      <c r="J596" s="226"/>
    </row>
    <row r="597" spans="10:10" ht="13">
      <c r="J597" s="226"/>
    </row>
    <row r="598" spans="10:10" ht="13">
      <c r="J598" s="226"/>
    </row>
    <row r="599" spans="10:10" ht="13">
      <c r="J599" s="226"/>
    </row>
    <row r="600" spans="10:10" ht="13">
      <c r="J600" s="226"/>
    </row>
    <row r="601" spans="10:10" ht="13">
      <c r="J601" s="226"/>
    </row>
    <row r="602" spans="10:10" ht="13">
      <c r="J602" s="226"/>
    </row>
    <row r="603" spans="10:10" ht="13">
      <c r="J603" s="226"/>
    </row>
    <row r="604" spans="10:10" ht="13">
      <c r="J604" s="226"/>
    </row>
    <row r="605" spans="10:10" ht="13">
      <c r="J605" s="226"/>
    </row>
    <row r="606" spans="10:10" ht="13">
      <c r="J606" s="226"/>
    </row>
    <row r="607" spans="10:10" ht="13">
      <c r="J607" s="226"/>
    </row>
    <row r="608" spans="10:10" ht="13">
      <c r="J608" s="226"/>
    </row>
    <row r="609" spans="10:10" ht="13">
      <c r="J609" s="226"/>
    </row>
    <row r="610" spans="10:10" ht="13">
      <c r="J610" s="226"/>
    </row>
    <row r="611" spans="10:10" ht="13">
      <c r="J611" s="226"/>
    </row>
    <row r="612" spans="10:10" ht="13">
      <c r="J612" s="226"/>
    </row>
    <row r="613" spans="10:10" ht="13">
      <c r="J613" s="226"/>
    </row>
    <row r="614" spans="10:10" ht="13">
      <c r="J614" s="226"/>
    </row>
    <row r="615" spans="10:10" ht="13">
      <c r="J615" s="226"/>
    </row>
    <row r="616" spans="10:10" ht="13">
      <c r="J616" s="226"/>
    </row>
    <row r="617" spans="10:10" ht="13">
      <c r="J617" s="226"/>
    </row>
    <row r="618" spans="10:10" ht="13">
      <c r="J618" s="226"/>
    </row>
    <row r="619" spans="10:10" ht="13">
      <c r="J619" s="226"/>
    </row>
    <row r="620" spans="10:10" ht="13">
      <c r="J620" s="226"/>
    </row>
    <row r="621" spans="10:10" ht="13">
      <c r="J621" s="226"/>
    </row>
    <row r="622" spans="10:10" ht="13">
      <c r="J622" s="226"/>
    </row>
    <row r="623" spans="10:10" ht="13">
      <c r="J623" s="226"/>
    </row>
    <row r="624" spans="10:10" ht="13">
      <c r="J624" s="226"/>
    </row>
    <row r="625" spans="10:10" ht="13">
      <c r="J625" s="226"/>
    </row>
    <row r="626" spans="10:10" ht="13">
      <c r="J626" s="226"/>
    </row>
    <row r="627" spans="10:10" ht="13">
      <c r="J627" s="226"/>
    </row>
    <row r="628" spans="10:10" ht="13">
      <c r="J628" s="226"/>
    </row>
    <row r="629" spans="10:10" ht="13">
      <c r="J629" s="226"/>
    </row>
    <row r="630" spans="10:10" ht="13">
      <c r="J630" s="226"/>
    </row>
    <row r="631" spans="10:10" ht="13">
      <c r="J631" s="226"/>
    </row>
    <row r="632" spans="10:10" ht="13">
      <c r="J632" s="226"/>
    </row>
    <row r="633" spans="10:10" ht="13">
      <c r="J633" s="226"/>
    </row>
    <row r="634" spans="10:10" ht="13">
      <c r="J634" s="226"/>
    </row>
    <row r="635" spans="10:10" ht="13">
      <c r="J635" s="226"/>
    </row>
    <row r="636" spans="10:10" ht="13">
      <c r="J636" s="226"/>
    </row>
    <row r="637" spans="10:10" ht="13">
      <c r="J637" s="226"/>
    </row>
    <row r="638" spans="10:10" ht="13">
      <c r="J638" s="226"/>
    </row>
    <row r="639" spans="10:10" ht="13">
      <c r="J639" s="226"/>
    </row>
    <row r="640" spans="10:10" ht="13">
      <c r="J640" s="226"/>
    </row>
    <row r="641" spans="10:10" ht="13">
      <c r="J641" s="226"/>
    </row>
    <row r="642" spans="10:10" ht="13">
      <c r="J642" s="226"/>
    </row>
    <row r="643" spans="10:10" ht="13">
      <c r="J643" s="226"/>
    </row>
    <row r="644" spans="10:10" ht="13">
      <c r="J644" s="226"/>
    </row>
    <row r="645" spans="10:10" ht="13">
      <c r="J645" s="226"/>
    </row>
    <row r="646" spans="10:10" ht="13">
      <c r="J646" s="226"/>
    </row>
    <row r="647" spans="10:10" ht="13">
      <c r="J647" s="226"/>
    </row>
    <row r="648" spans="10:10" ht="13">
      <c r="J648" s="226"/>
    </row>
    <row r="649" spans="10:10" ht="13">
      <c r="J649" s="226"/>
    </row>
    <row r="650" spans="10:10" ht="13">
      <c r="J650" s="226"/>
    </row>
    <row r="651" spans="10:10" ht="13">
      <c r="J651" s="226"/>
    </row>
    <row r="652" spans="10:10" ht="13">
      <c r="J652" s="226"/>
    </row>
    <row r="653" spans="10:10" ht="13">
      <c r="J653" s="226"/>
    </row>
    <row r="654" spans="10:10" ht="13">
      <c r="J654" s="226"/>
    </row>
    <row r="655" spans="10:10" ht="13">
      <c r="J655" s="226"/>
    </row>
    <row r="656" spans="10:10" ht="13">
      <c r="J656" s="226"/>
    </row>
    <row r="657" spans="10:10" ht="13">
      <c r="J657" s="226"/>
    </row>
    <row r="658" spans="10:10" ht="13">
      <c r="J658" s="226"/>
    </row>
    <row r="659" spans="10:10" ht="13">
      <c r="J659" s="226"/>
    </row>
    <row r="660" spans="10:10" ht="13">
      <c r="J660" s="226"/>
    </row>
    <row r="661" spans="10:10" ht="13">
      <c r="J661" s="226"/>
    </row>
    <row r="662" spans="10:10" ht="13">
      <c r="J662" s="226"/>
    </row>
    <row r="663" spans="10:10" ht="13">
      <c r="J663" s="226"/>
    </row>
    <row r="664" spans="10:10" ht="13">
      <c r="J664" s="226"/>
    </row>
    <row r="665" spans="10:10" ht="13">
      <c r="J665" s="226"/>
    </row>
    <row r="666" spans="10:10" ht="13">
      <c r="J666" s="226"/>
    </row>
    <row r="667" spans="10:10" ht="13">
      <c r="J667" s="226"/>
    </row>
    <row r="668" spans="10:10" ht="13">
      <c r="J668" s="226"/>
    </row>
    <row r="669" spans="10:10" ht="13">
      <c r="J669" s="226"/>
    </row>
    <row r="670" spans="10:10" ht="13">
      <c r="J670" s="226"/>
    </row>
    <row r="671" spans="10:10" ht="13">
      <c r="J671" s="226"/>
    </row>
    <row r="672" spans="10:10" ht="13">
      <c r="J672" s="226"/>
    </row>
    <row r="673" spans="10:10" ht="13">
      <c r="J673" s="226"/>
    </row>
    <row r="674" spans="10:10" ht="13">
      <c r="J674" s="226"/>
    </row>
    <row r="675" spans="10:10" ht="13">
      <c r="J675" s="226"/>
    </row>
    <row r="676" spans="10:10" ht="13">
      <c r="J676" s="226"/>
    </row>
    <row r="677" spans="10:10" ht="13">
      <c r="J677" s="226"/>
    </row>
    <row r="678" spans="10:10" ht="13">
      <c r="J678" s="226"/>
    </row>
    <row r="679" spans="10:10" ht="13">
      <c r="J679" s="226"/>
    </row>
    <row r="680" spans="10:10" ht="13">
      <c r="J680" s="226"/>
    </row>
    <row r="681" spans="10:10" ht="13">
      <c r="J681" s="226"/>
    </row>
    <row r="682" spans="10:10" ht="13">
      <c r="J682" s="226"/>
    </row>
    <row r="683" spans="10:10" ht="13">
      <c r="J683" s="226"/>
    </row>
    <row r="684" spans="10:10" ht="13">
      <c r="J684" s="226"/>
    </row>
    <row r="685" spans="10:10" ht="13">
      <c r="J685" s="226"/>
    </row>
    <row r="686" spans="10:10" ht="13">
      <c r="J686" s="226"/>
    </row>
    <row r="687" spans="10:10" ht="13">
      <c r="J687" s="226"/>
    </row>
    <row r="688" spans="10:10" ht="13">
      <c r="J688" s="226"/>
    </row>
    <row r="689" spans="10:10" ht="13">
      <c r="J689" s="226"/>
    </row>
    <row r="690" spans="10:10" ht="13">
      <c r="J690" s="226"/>
    </row>
    <row r="691" spans="10:10" ht="13">
      <c r="J691" s="226"/>
    </row>
    <row r="692" spans="10:10" ht="13">
      <c r="J692" s="226"/>
    </row>
    <row r="693" spans="10:10" ht="13">
      <c r="J693" s="226"/>
    </row>
    <row r="694" spans="10:10" ht="13">
      <c r="J694" s="226"/>
    </row>
    <row r="695" spans="10:10" ht="13">
      <c r="J695" s="226"/>
    </row>
    <row r="696" spans="10:10" ht="13">
      <c r="J696" s="226"/>
    </row>
    <row r="697" spans="10:10" ht="13">
      <c r="J697" s="226"/>
    </row>
    <row r="698" spans="10:10" ht="13">
      <c r="J698" s="226"/>
    </row>
    <row r="699" spans="10:10" ht="13">
      <c r="J699" s="226"/>
    </row>
    <row r="700" spans="10:10" ht="13">
      <c r="J700" s="226"/>
    </row>
    <row r="701" spans="10:10" ht="13">
      <c r="J701" s="226"/>
    </row>
    <row r="702" spans="10:10" ht="13">
      <c r="J702" s="226"/>
    </row>
    <row r="703" spans="10:10" ht="13">
      <c r="J703" s="226"/>
    </row>
    <row r="704" spans="10:10" ht="13">
      <c r="J704" s="226"/>
    </row>
    <row r="705" spans="10:10" ht="13">
      <c r="J705" s="226"/>
    </row>
    <row r="706" spans="10:10" ht="13">
      <c r="J706" s="226"/>
    </row>
    <row r="707" spans="10:10" ht="13">
      <c r="J707" s="226"/>
    </row>
    <row r="708" spans="10:10" ht="13">
      <c r="J708" s="226"/>
    </row>
    <row r="709" spans="10:10" ht="13">
      <c r="J709" s="226"/>
    </row>
    <row r="710" spans="10:10" ht="13">
      <c r="J710" s="226"/>
    </row>
    <row r="711" spans="10:10" ht="13">
      <c r="J711" s="226"/>
    </row>
    <row r="712" spans="10:10" ht="13">
      <c r="J712" s="226"/>
    </row>
    <row r="713" spans="10:10" ht="13">
      <c r="J713" s="226"/>
    </row>
    <row r="714" spans="10:10" ht="13">
      <c r="J714" s="226"/>
    </row>
    <row r="715" spans="10:10" ht="13">
      <c r="J715" s="226"/>
    </row>
    <row r="716" spans="10:10" ht="13">
      <c r="J716" s="226"/>
    </row>
    <row r="717" spans="10:10" ht="13">
      <c r="J717" s="226"/>
    </row>
    <row r="718" spans="10:10" ht="13">
      <c r="J718" s="226"/>
    </row>
    <row r="719" spans="10:10" ht="13">
      <c r="J719" s="226"/>
    </row>
    <row r="720" spans="10:10" ht="13">
      <c r="J720" s="226"/>
    </row>
    <row r="721" spans="10:10" ht="13">
      <c r="J721" s="226"/>
    </row>
    <row r="722" spans="10:10" ht="13">
      <c r="J722" s="226"/>
    </row>
    <row r="723" spans="10:10" ht="13">
      <c r="J723" s="226"/>
    </row>
    <row r="724" spans="10:10" ht="13">
      <c r="J724" s="226"/>
    </row>
    <row r="725" spans="10:10" ht="13">
      <c r="J725" s="226"/>
    </row>
    <row r="726" spans="10:10" ht="13">
      <c r="J726" s="226"/>
    </row>
    <row r="727" spans="10:10" ht="13">
      <c r="J727" s="226"/>
    </row>
    <row r="728" spans="10:10" ht="13">
      <c r="J728" s="226"/>
    </row>
    <row r="729" spans="10:10" ht="13">
      <c r="J729" s="226"/>
    </row>
    <row r="730" spans="10:10" ht="13">
      <c r="J730" s="226"/>
    </row>
    <row r="731" spans="10:10" ht="13">
      <c r="J731" s="226"/>
    </row>
    <row r="732" spans="10:10" ht="13">
      <c r="J732" s="226"/>
    </row>
    <row r="733" spans="10:10" ht="13">
      <c r="J733" s="226"/>
    </row>
    <row r="734" spans="10:10" ht="13">
      <c r="J734" s="226"/>
    </row>
    <row r="735" spans="10:10" ht="13">
      <c r="J735" s="226"/>
    </row>
    <row r="736" spans="10:10" ht="13">
      <c r="J736" s="226"/>
    </row>
    <row r="737" spans="10:10" ht="13">
      <c r="J737" s="226"/>
    </row>
    <row r="738" spans="10:10" ht="13">
      <c r="J738" s="226"/>
    </row>
    <row r="739" spans="10:10" ht="13">
      <c r="J739" s="226"/>
    </row>
    <row r="740" spans="10:10" ht="13">
      <c r="J740" s="226"/>
    </row>
    <row r="741" spans="10:10" ht="13">
      <c r="J741" s="226"/>
    </row>
    <row r="742" spans="10:10" ht="13">
      <c r="J742" s="226"/>
    </row>
    <row r="743" spans="10:10" ht="13">
      <c r="J743" s="226"/>
    </row>
    <row r="744" spans="10:10" ht="13">
      <c r="J744" s="226"/>
    </row>
    <row r="745" spans="10:10" ht="13">
      <c r="J745" s="226"/>
    </row>
    <row r="746" spans="10:10" ht="13">
      <c r="J746" s="226"/>
    </row>
    <row r="747" spans="10:10" ht="13">
      <c r="J747" s="226"/>
    </row>
    <row r="748" spans="10:10" ht="13">
      <c r="J748" s="226"/>
    </row>
    <row r="749" spans="10:10" ht="13">
      <c r="J749" s="226"/>
    </row>
    <row r="750" spans="10:10" ht="13">
      <c r="J750" s="226"/>
    </row>
    <row r="751" spans="10:10" ht="13">
      <c r="J751" s="226"/>
    </row>
    <row r="752" spans="10:10" ht="13">
      <c r="J752" s="226"/>
    </row>
    <row r="753" spans="10:10" ht="13">
      <c r="J753" s="226"/>
    </row>
    <row r="754" spans="10:10" ht="13">
      <c r="J754" s="226"/>
    </row>
    <row r="755" spans="10:10" ht="13">
      <c r="J755" s="226"/>
    </row>
    <row r="756" spans="10:10" ht="13">
      <c r="J756" s="226"/>
    </row>
    <row r="757" spans="10:10" ht="13">
      <c r="J757" s="226"/>
    </row>
    <row r="758" spans="10:10" ht="13">
      <c r="J758" s="226"/>
    </row>
    <row r="759" spans="10:10" ht="13">
      <c r="J759" s="226"/>
    </row>
    <row r="760" spans="10:10" ht="13">
      <c r="J760" s="226"/>
    </row>
    <row r="761" spans="10:10" ht="13">
      <c r="J761" s="226"/>
    </row>
    <row r="762" spans="10:10" ht="13">
      <c r="J762" s="226"/>
    </row>
    <row r="763" spans="10:10" ht="13">
      <c r="J763" s="226"/>
    </row>
    <row r="764" spans="10:10" ht="13">
      <c r="J764" s="226"/>
    </row>
    <row r="765" spans="10:10" ht="13">
      <c r="J765" s="226"/>
    </row>
    <row r="766" spans="10:10" ht="13">
      <c r="J766" s="226"/>
    </row>
    <row r="767" spans="10:10" ht="13">
      <c r="J767" s="226"/>
    </row>
    <row r="768" spans="10:10" ht="13">
      <c r="J768" s="226"/>
    </row>
    <row r="769" spans="10:10" ht="13">
      <c r="J769" s="226"/>
    </row>
    <row r="770" spans="10:10" ht="13">
      <c r="J770" s="226"/>
    </row>
    <row r="771" spans="10:10" ht="13">
      <c r="J771" s="226"/>
    </row>
    <row r="772" spans="10:10" ht="13">
      <c r="J772" s="226"/>
    </row>
    <row r="773" spans="10:10" ht="13">
      <c r="J773" s="226"/>
    </row>
    <row r="774" spans="10:10" ht="13">
      <c r="J774" s="226"/>
    </row>
    <row r="775" spans="10:10" ht="13">
      <c r="J775" s="226"/>
    </row>
    <row r="776" spans="10:10" ht="13">
      <c r="J776" s="226"/>
    </row>
    <row r="777" spans="10:10" ht="13">
      <c r="J777" s="226"/>
    </row>
    <row r="778" spans="10:10" ht="13">
      <c r="J778" s="226"/>
    </row>
    <row r="779" spans="10:10" ht="13">
      <c r="J779" s="226"/>
    </row>
    <row r="780" spans="10:10" ht="13">
      <c r="J780" s="226"/>
    </row>
    <row r="781" spans="10:10" ht="13">
      <c r="J781" s="226"/>
    </row>
    <row r="782" spans="10:10" ht="13">
      <c r="J782" s="226"/>
    </row>
    <row r="783" spans="10:10" ht="13">
      <c r="J783" s="226"/>
    </row>
    <row r="784" spans="10:10" ht="13">
      <c r="J784" s="226"/>
    </row>
    <row r="785" spans="10:10" ht="13">
      <c r="J785" s="226"/>
    </row>
    <row r="786" spans="10:10" ht="13">
      <c r="J786" s="226"/>
    </row>
    <row r="787" spans="10:10" ht="13">
      <c r="J787" s="226"/>
    </row>
    <row r="788" spans="10:10" ht="13">
      <c r="J788" s="226"/>
    </row>
    <row r="789" spans="10:10" ht="13">
      <c r="J789" s="226"/>
    </row>
    <row r="790" spans="10:10" ht="13">
      <c r="J790" s="226"/>
    </row>
    <row r="791" spans="10:10" ht="13">
      <c r="J791" s="226"/>
    </row>
    <row r="792" spans="10:10" ht="13">
      <c r="J792" s="226"/>
    </row>
    <row r="793" spans="10:10" ht="13">
      <c r="J793" s="226"/>
    </row>
    <row r="794" spans="10:10" ht="13">
      <c r="J794" s="226"/>
    </row>
    <row r="795" spans="10:10" ht="13">
      <c r="J795" s="226"/>
    </row>
    <row r="796" spans="10:10" ht="13">
      <c r="J796" s="226"/>
    </row>
    <row r="797" spans="10:10" ht="13">
      <c r="J797" s="226"/>
    </row>
    <row r="798" spans="10:10" ht="13">
      <c r="J798" s="226"/>
    </row>
    <row r="799" spans="10:10" ht="13">
      <c r="J799" s="226"/>
    </row>
    <row r="800" spans="10:10" ht="13">
      <c r="J800" s="226"/>
    </row>
    <row r="801" spans="10:10" ht="13">
      <c r="J801" s="226"/>
    </row>
    <row r="802" spans="10:10" ht="13">
      <c r="J802" s="226"/>
    </row>
    <row r="803" spans="10:10" ht="13">
      <c r="J803" s="226"/>
    </row>
    <row r="804" spans="10:10" ht="13">
      <c r="J804" s="226"/>
    </row>
    <row r="805" spans="10:10" ht="13">
      <c r="J805" s="226"/>
    </row>
    <row r="806" spans="10:10" ht="13">
      <c r="J806" s="226"/>
    </row>
    <row r="807" spans="10:10" ht="13">
      <c r="J807" s="226"/>
    </row>
    <row r="808" spans="10:10" ht="13">
      <c r="J808" s="226"/>
    </row>
    <row r="809" spans="10:10" ht="13">
      <c r="J809" s="226"/>
    </row>
    <row r="810" spans="10:10" ht="13">
      <c r="J810" s="226"/>
    </row>
    <row r="811" spans="10:10" ht="13">
      <c r="J811" s="226"/>
    </row>
    <row r="812" spans="10:10" ht="13">
      <c r="J812" s="226"/>
    </row>
    <row r="813" spans="10:10" ht="13">
      <c r="J813" s="226"/>
    </row>
    <row r="814" spans="10:10" ht="13">
      <c r="J814" s="226"/>
    </row>
    <row r="815" spans="10:10" ht="13">
      <c r="J815" s="226"/>
    </row>
    <row r="816" spans="10:10" ht="13">
      <c r="J816" s="226"/>
    </row>
    <row r="817" spans="10:10" ht="13">
      <c r="J817" s="226"/>
    </row>
    <row r="818" spans="10:10" ht="13">
      <c r="J818" s="226"/>
    </row>
    <row r="819" spans="10:10" ht="13">
      <c r="J819" s="226"/>
    </row>
    <row r="820" spans="10:10" ht="13">
      <c r="J820" s="226"/>
    </row>
    <row r="821" spans="10:10" ht="13">
      <c r="J821" s="226"/>
    </row>
    <row r="822" spans="10:10" ht="13">
      <c r="J822" s="226"/>
    </row>
    <row r="823" spans="10:10" ht="13">
      <c r="J823" s="226"/>
    </row>
    <row r="824" spans="10:10" ht="13">
      <c r="J824" s="226"/>
    </row>
    <row r="825" spans="10:10" ht="13">
      <c r="J825" s="226"/>
    </row>
    <row r="826" spans="10:10" ht="13">
      <c r="J826" s="226"/>
    </row>
    <row r="827" spans="10:10" ht="13">
      <c r="J827" s="226"/>
    </row>
    <row r="828" spans="10:10" ht="13">
      <c r="J828" s="226"/>
    </row>
    <row r="829" spans="10:10" ht="13">
      <c r="J829" s="226"/>
    </row>
    <row r="830" spans="10:10" ht="13">
      <c r="J830" s="226"/>
    </row>
    <row r="831" spans="10:10" ht="13">
      <c r="J831" s="226"/>
    </row>
    <row r="832" spans="10:10" ht="13">
      <c r="J832" s="226"/>
    </row>
    <row r="833" spans="10:10" ht="13">
      <c r="J833" s="226"/>
    </row>
    <row r="834" spans="10:10" ht="13">
      <c r="J834" s="226"/>
    </row>
    <row r="835" spans="10:10" ht="13">
      <c r="J835" s="226"/>
    </row>
    <row r="836" spans="10:10" ht="13">
      <c r="J836" s="226"/>
    </row>
    <row r="837" spans="10:10" ht="13">
      <c r="J837" s="226"/>
    </row>
    <row r="838" spans="10:10" ht="13">
      <c r="J838" s="226"/>
    </row>
    <row r="839" spans="10:10" ht="13">
      <c r="J839" s="226"/>
    </row>
    <row r="840" spans="10:10" ht="13">
      <c r="J840" s="226"/>
    </row>
    <row r="841" spans="10:10" ht="13">
      <c r="J841" s="226"/>
    </row>
    <row r="842" spans="10:10" ht="13">
      <c r="J842" s="226"/>
    </row>
    <row r="843" spans="10:10" ht="13">
      <c r="J843" s="226"/>
    </row>
    <row r="844" spans="10:10" ht="13">
      <c r="J844" s="226"/>
    </row>
    <row r="845" spans="10:10" ht="13">
      <c r="J845" s="226"/>
    </row>
    <row r="846" spans="10:10" ht="13">
      <c r="J846" s="226"/>
    </row>
    <row r="847" spans="10:10" ht="13">
      <c r="J847" s="226"/>
    </row>
    <row r="848" spans="10:10" ht="13">
      <c r="J848" s="226"/>
    </row>
    <row r="849" spans="10:10" ht="13">
      <c r="J849" s="226"/>
    </row>
    <row r="850" spans="10:10" ht="13">
      <c r="J850" s="226"/>
    </row>
    <row r="851" spans="10:10" ht="13">
      <c r="J851" s="226"/>
    </row>
    <row r="852" spans="10:10" ht="13">
      <c r="J852" s="226"/>
    </row>
    <row r="853" spans="10:10" ht="13">
      <c r="J853" s="226"/>
    </row>
    <row r="854" spans="10:10" ht="13">
      <c r="J854" s="226"/>
    </row>
    <row r="855" spans="10:10" ht="13">
      <c r="J855" s="226"/>
    </row>
    <row r="856" spans="10:10" ht="13">
      <c r="J856" s="226"/>
    </row>
    <row r="857" spans="10:10" ht="13">
      <c r="J857" s="226"/>
    </row>
    <row r="858" spans="10:10" ht="13">
      <c r="J858" s="226"/>
    </row>
    <row r="859" spans="10:10" ht="13">
      <c r="J859" s="226"/>
    </row>
    <row r="860" spans="10:10" ht="13">
      <c r="J860" s="226"/>
    </row>
    <row r="861" spans="10:10" ht="13">
      <c r="J861" s="226"/>
    </row>
    <row r="862" spans="10:10" ht="13">
      <c r="J862" s="226"/>
    </row>
    <row r="863" spans="10:10" ht="13">
      <c r="J863" s="226"/>
    </row>
    <row r="864" spans="10:10" ht="13">
      <c r="J864" s="226"/>
    </row>
    <row r="865" spans="10:10" ht="13">
      <c r="J865" s="226"/>
    </row>
    <row r="866" spans="10:10" ht="13">
      <c r="J866" s="226"/>
    </row>
    <row r="867" spans="10:10" ht="13">
      <c r="J867" s="226"/>
    </row>
    <row r="868" spans="10:10" ht="13">
      <c r="J868" s="226"/>
    </row>
    <row r="869" spans="10:10" ht="13">
      <c r="J869" s="226"/>
    </row>
    <row r="870" spans="10:10" ht="13">
      <c r="J870" s="226"/>
    </row>
    <row r="871" spans="10:10" ht="13">
      <c r="J871" s="226"/>
    </row>
    <row r="872" spans="10:10" ht="13">
      <c r="J872" s="226"/>
    </row>
    <row r="873" spans="10:10" ht="13">
      <c r="J873" s="226"/>
    </row>
    <row r="874" spans="10:10" ht="13">
      <c r="J874" s="226"/>
    </row>
    <row r="875" spans="10:10" ht="13">
      <c r="J875" s="226"/>
    </row>
    <row r="876" spans="10:10" ht="13">
      <c r="J876" s="226"/>
    </row>
    <row r="877" spans="10:10" ht="13">
      <c r="J877" s="226"/>
    </row>
    <row r="878" spans="10:10" ht="13">
      <c r="J878" s="226"/>
    </row>
    <row r="879" spans="10:10" ht="13">
      <c r="J879" s="226"/>
    </row>
    <row r="880" spans="10:10" ht="13">
      <c r="J880" s="226"/>
    </row>
    <row r="881" spans="10:10" ht="13">
      <c r="J881" s="226"/>
    </row>
    <row r="882" spans="10:10" ht="13">
      <c r="J882" s="226"/>
    </row>
    <row r="883" spans="10:10" ht="13">
      <c r="J883" s="226"/>
    </row>
    <row r="884" spans="10:10" ht="13">
      <c r="J884" s="226"/>
    </row>
    <row r="885" spans="10:10" ht="13">
      <c r="J885" s="226"/>
    </row>
    <row r="886" spans="10:10" ht="13">
      <c r="J886" s="226"/>
    </row>
    <row r="887" spans="10:10" ht="13">
      <c r="J887" s="226"/>
    </row>
    <row r="888" spans="10:10" ht="13">
      <c r="J888" s="226"/>
    </row>
    <row r="889" spans="10:10" ht="13">
      <c r="J889" s="226"/>
    </row>
    <row r="890" spans="10:10" ht="13">
      <c r="J890" s="226"/>
    </row>
    <row r="891" spans="10:10" ht="13">
      <c r="J891" s="226"/>
    </row>
    <row r="892" spans="10:10" ht="13">
      <c r="J892" s="226"/>
    </row>
    <row r="893" spans="10:10" ht="13">
      <c r="J893" s="226"/>
    </row>
    <row r="894" spans="10:10" ht="13">
      <c r="J894" s="226"/>
    </row>
    <row r="895" spans="10:10" ht="13">
      <c r="J895" s="226"/>
    </row>
    <row r="896" spans="10:10" ht="13">
      <c r="J896" s="226"/>
    </row>
    <row r="897" spans="10:10" ht="13">
      <c r="J897" s="226"/>
    </row>
    <row r="898" spans="10:10" ht="13">
      <c r="J898" s="226"/>
    </row>
    <row r="899" spans="10:10" ht="13">
      <c r="J899" s="226"/>
    </row>
    <row r="900" spans="10:10" ht="13">
      <c r="J900" s="226"/>
    </row>
    <row r="901" spans="10:10" ht="13">
      <c r="J901" s="226"/>
    </row>
    <row r="902" spans="10:10" ht="13">
      <c r="J902" s="226"/>
    </row>
    <row r="903" spans="10:10" ht="13">
      <c r="J903" s="226"/>
    </row>
    <row r="904" spans="10:10" ht="13">
      <c r="J904" s="226"/>
    </row>
    <row r="905" spans="10:10" ht="13">
      <c r="J905" s="226"/>
    </row>
    <row r="906" spans="10:10" ht="13">
      <c r="J906" s="226"/>
    </row>
    <row r="907" spans="10:10" ht="13">
      <c r="J907" s="226"/>
    </row>
    <row r="908" spans="10:10" ht="13">
      <c r="J908" s="226"/>
    </row>
    <row r="909" spans="10:10" ht="13">
      <c r="J909" s="226"/>
    </row>
    <row r="910" spans="10:10" ht="13">
      <c r="J910" s="226"/>
    </row>
    <row r="911" spans="10:10" ht="13">
      <c r="J911" s="226"/>
    </row>
    <row r="912" spans="10:10" ht="13">
      <c r="J912" s="226"/>
    </row>
    <row r="913" spans="10:10" ht="13">
      <c r="J913" s="226"/>
    </row>
    <row r="914" spans="10:10" ht="13">
      <c r="J914" s="226"/>
    </row>
    <row r="915" spans="10:10" ht="13">
      <c r="J915" s="226"/>
    </row>
    <row r="916" spans="10:10" ht="13">
      <c r="J916" s="226"/>
    </row>
    <row r="917" spans="10:10" ht="13">
      <c r="J917" s="226"/>
    </row>
    <row r="918" spans="10:10" ht="13">
      <c r="J918" s="226"/>
    </row>
    <row r="919" spans="10:10" ht="13">
      <c r="J919" s="226"/>
    </row>
    <row r="920" spans="10:10" ht="13">
      <c r="J920" s="226"/>
    </row>
    <row r="921" spans="10:10" ht="13">
      <c r="J921" s="226"/>
    </row>
    <row r="922" spans="10:10" ht="13">
      <c r="J922" s="226"/>
    </row>
    <row r="923" spans="10:10" ht="13">
      <c r="J923" s="226"/>
    </row>
    <row r="924" spans="10:10" ht="13">
      <c r="J924" s="226"/>
    </row>
    <row r="925" spans="10:10" ht="13">
      <c r="J925" s="226"/>
    </row>
    <row r="926" spans="10:10" ht="13">
      <c r="J926" s="226"/>
    </row>
    <row r="927" spans="10:10" ht="13">
      <c r="J927" s="226"/>
    </row>
    <row r="928" spans="10:10" ht="13">
      <c r="J928" s="226"/>
    </row>
    <row r="929" spans="10:10" ht="13">
      <c r="J929" s="226"/>
    </row>
    <row r="930" spans="10:10" ht="13">
      <c r="J930" s="226"/>
    </row>
    <row r="931" spans="10:10" ht="13">
      <c r="J931" s="226"/>
    </row>
    <row r="932" spans="10:10" ht="13">
      <c r="J932" s="226"/>
    </row>
    <row r="933" spans="10:10" ht="13">
      <c r="J933" s="226"/>
    </row>
    <row r="934" spans="10:10" ht="13">
      <c r="J934" s="226"/>
    </row>
    <row r="935" spans="10:10" ht="13">
      <c r="J935" s="226"/>
    </row>
    <row r="936" spans="10:10" ht="13">
      <c r="J936" s="226"/>
    </row>
    <row r="937" spans="10:10" ht="13">
      <c r="J937" s="226"/>
    </row>
    <row r="938" spans="10:10" ht="13">
      <c r="J938" s="226"/>
    </row>
    <row r="939" spans="10:10" ht="13">
      <c r="J939" s="226"/>
    </row>
    <row r="940" spans="10:10" ht="13">
      <c r="J940" s="226"/>
    </row>
    <row r="941" spans="10:10" ht="13">
      <c r="J941" s="226"/>
    </row>
    <row r="942" spans="10:10" ht="13">
      <c r="J942" s="226"/>
    </row>
    <row r="943" spans="10:10" ht="13">
      <c r="J943" s="226"/>
    </row>
    <row r="944" spans="10:10" ht="13">
      <c r="J944" s="226"/>
    </row>
    <row r="945" spans="10:10" ht="13">
      <c r="J945" s="226"/>
    </row>
    <row r="946" spans="10:10" ht="13">
      <c r="J946" s="226"/>
    </row>
    <row r="947" spans="10:10" ht="13">
      <c r="J947" s="226"/>
    </row>
    <row r="948" spans="10:10" ht="13">
      <c r="J948" s="226"/>
    </row>
    <row r="949" spans="10:10" ht="13">
      <c r="J949" s="226"/>
    </row>
    <row r="950" spans="10:10" ht="13">
      <c r="J950" s="226"/>
    </row>
    <row r="951" spans="10:10" ht="13">
      <c r="J951" s="226"/>
    </row>
    <row r="952" spans="10:10" ht="13">
      <c r="J952" s="226"/>
    </row>
    <row r="953" spans="10:10" ht="13">
      <c r="J953" s="226"/>
    </row>
    <row r="954" spans="10:10" ht="13">
      <c r="J954" s="226"/>
    </row>
    <row r="955" spans="10:10" ht="13">
      <c r="J955" s="226"/>
    </row>
    <row r="956" spans="10:10" ht="13">
      <c r="J956" s="226"/>
    </row>
    <row r="957" spans="10:10" ht="13">
      <c r="J957" s="226"/>
    </row>
    <row r="958" spans="10:10" ht="13">
      <c r="J958" s="226"/>
    </row>
    <row r="959" spans="10:10" ht="13">
      <c r="J959" s="226"/>
    </row>
    <row r="960" spans="10:10" ht="13">
      <c r="J960" s="226"/>
    </row>
    <row r="961" spans="10:10" ht="13">
      <c r="J961" s="226"/>
    </row>
    <row r="962" spans="10:10" ht="13">
      <c r="J962" s="226"/>
    </row>
    <row r="963" spans="10:10" ht="13">
      <c r="J963" s="226"/>
    </row>
    <row r="964" spans="10:10" ht="13">
      <c r="J964" s="226"/>
    </row>
    <row r="965" spans="10:10" ht="13">
      <c r="J965" s="226"/>
    </row>
    <row r="966" spans="10:10" ht="13">
      <c r="J966" s="226"/>
    </row>
    <row r="967" spans="10:10" ht="13">
      <c r="J967" s="226"/>
    </row>
    <row r="968" spans="10:10" ht="13">
      <c r="J968" s="226"/>
    </row>
    <row r="969" spans="10:10" ht="13">
      <c r="J969" s="226"/>
    </row>
    <row r="970" spans="10:10" ht="13">
      <c r="J970" s="226"/>
    </row>
    <row r="971" spans="10:10" ht="13">
      <c r="J971" s="226"/>
    </row>
    <row r="972" spans="10:10" ht="13">
      <c r="J972" s="226"/>
    </row>
    <row r="973" spans="10:10" ht="13">
      <c r="J973" s="226"/>
    </row>
    <row r="974" spans="10:10" ht="13">
      <c r="J974" s="226"/>
    </row>
    <row r="975" spans="10:10" ht="13">
      <c r="J975" s="226"/>
    </row>
    <row r="976" spans="10:10" ht="13">
      <c r="J976" s="226"/>
    </row>
    <row r="977" spans="10:10" ht="13">
      <c r="J977" s="226"/>
    </row>
    <row r="978" spans="10:10" ht="13">
      <c r="J978" s="226"/>
    </row>
    <row r="979" spans="10:10" ht="13">
      <c r="J979" s="226"/>
    </row>
    <row r="980" spans="10:10" ht="13">
      <c r="J980" s="226"/>
    </row>
    <row r="981" spans="10:10" ht="13">
      <c r="J981" s="226"/>
    </row>
    <row r="982" spans="10:10" ht="13">
      <c r="J982" s="226"/>
    </row>
    <row r="983" spans="10:10" ht="13">
      <c r="J983" s="226"/>
    </row>
    <row r="984" spans="10:10" ht="13">
      <c r="J984" s="226"/>
    </row>
    <row r="985" spans="10:10" ht="13">
      <c r="J985" s="226"/>
    </row>
    <row r="986" spans="10:10" ht="13">
      <c r="J986" s="226"/>
    </row>
    <row r="987" spans="10:10" ht="13">
      <c r="J987" s="226"/>
    </row>
    <row r="988" spans="10:10" ht="13">
      <c r="J988" s="226"/>
    </row>
    <row r="989" spans="10:10" ht="13">
      <c r="J989" s="226"/>
    </row>
    <row r="990" spans="10:10" ht="13">
      <c r="J990" s="226"/>
    </row>
    <row r="991" spans="10:10" ht="13">
      <c r="J991" s="226"/>
    </row>
    <row r="992" spans="10:10" ht="13">
      <c r="J992" s="226"/>
    </row>
    <row r="993" spans="10:10" ht="13">
      <c r="J993" s="226"/>
    </row>
    <row r="994" spans="10:10" ht="13">
      <c r="J994" s="226"/>
    </row>
    <row r="995" spans="10:10" ht="13">
      <c r="J995" s="226"/>
    </row>
    <row r="996" spans="10:10" ht="13">
      <c r="J996" s="226"/>
    </row>
    <row r="997" spans="10:10" ht="13">
      <c r="J997" s="226"/>
    </row>
    <row r="998" spans="10:10" ht="13">
      <c r="J998" s="226"/>
    </row>
    <row r="999" spans="10:10" ht="13">
      <c r="J999" s="226"/>
    </row>
    <row r="1000" spans="10:10" ht="13">
      <c r="J1000" s="226"/>
    </row>
    <row r="1001" spans="10:10" ht="13">
      <c r="J1001" s="226"/>
    </row>
    <row r="1002" spans="10:10" ht="13">
      <c r="J1002" s="226"/>
    </row>
    <row r="1003" spans="10:10" ht="13">
      <c r="J1003" s="226"/>
    </row>
    <row r="1004" spans="10:10" ht="13">
      <c r="J1004" s="226"/>
    </row>
    <row r="1005" spans="10:10" ht="13">
      <c r="J1005" s="226"/>
    </row>
    <row r="1006" spans="10:10" ht="13">
      <c r="J1006" s="226"/>
    </row>
    <row r="1007" spans="10:10" ht="13">
      <c r="J1007" s="226"/>
    </row>
    <row r="1008" spans="10:10" ht="13">
      <c r="J1008" s="226"/>
    </row>
    <row r="1009" spans="10:10" ht="13">
      <c r="J1009" s="226"/>
    </row>
    <row r="1010" spans="10:10" ht="13">
      <c r="J1010" s="226"/>
    </row>
    <row r="1011" spans="10:10" ht="13">
      <c r="J1011" s="226"/>
    </row>
    <row r="1012" spans="10:10" ht="13">
      <c r="J1012" s="226"/>
    </row>
    <row r="1013" spans="10:10" ht="13">
      <c r="J1013" s="226"/>
    </row>
    <row r="1014" spans="10:10" ht="13">
      <c r="J1014" s="226"/>
    </row>
    <row r="1015" spans="10:10" ht="13">
      <c r="J1015" s="226"/>
    </row>
    <row r="1016" spans="10:10" ht="13">
      <c r="J1016" s="226"/>
    </row>
    <row r="1017" spans="10:10" ht="13">
      <c r="J1017" s="226"/>
    </row>
    <row r="1018" spans="10:10" ht="13">
      <c r="J1018" s="226"/>
    </row>
    <row r="1019" spans="10:10" ht="13">
      <c r="J1019" s="226"/>
    </row>
    <row r="1020" spans="10:10" ht="13">
      <c r="J1020" s="226"/>
    </row>
    <row r="1021" spans="10:10" ht="13">
      <c r="J1021" s="226"/>
    </row>
    <row r="1022" spans="10:10" ht="13">
      <c r="J1022" s="226"/>
    </row>
    <row r="1023" spans="10:10" ht="13">
      <c r="J1023" s="226"/>
    </row>
    <row r="1024" spans="10:10" ht="13">
      <c r="J1024" s="226"/>
    </row>
    <row r="1025" spans="10:10" ht="13">
      <c r="J1025" s="226"/>
    </row>
    <row r="1026" spans="10:10" ht="13">
      <c r="J1026" s="226"/>
    </row>
    <row r="1027" spans="10:10" ht="13">
      <c r="J1027" s="226"/>
    </row>
    <row r="1028" spans="10:10" ht="13">
      <c r="J1028" s="226"/>
    </row>
    <row r="1029" spans="10:10" ht="13">
      <c r="J1029" s="226"/>
    </row>
    <row r="1030" spans="10:10" ht="13">
      <c r="J1030" s="226"/>
    </row>
    <row r="1031" spans="10:10" ht="13">
      <c r="J1031" s="226"/>
    </row>
    <row r="1032" spans="10:10" ht="13">
      <c r="J1032" s="226"/>
    </row>
    <row r="1033" spans="10:10" ht="13">
      <c r="J1033" s="226"/>
    </row>
    <row r="1034" spans="10:10" ht="13">
      <c r="J1034" s="226"/>
    </row>
    <row r="1035" spans="10:10" ht="13">
      <c r="J1035" s="226"/>
    </row>
    <row r="1036" spans="10:10" ht="13">
      <c r="J1036" s="226"/>
    </row>
    <row r="1037" spans="10:10" ht="13">
      <c r="J1037" s="226"/>
    </row>
    <row r="1038" spans="10:10" ht="13">
      <c r="J1038" s="226"/>
    </row>
    <row r="1039" spans="10:10" ht="13">
      <c r="J1039" s="226"/>
    </row>
    <row r="1040" spans="10:10" ht="13">
      <c r="J1040" s="226"/>
    </row>
    <row r="1041" spans="10:10" ht="13">
      <c r="J1041" s="226"/>
    </row>
    <row r="1042" spans="10:10" ht="13">
      <c r="J1042" s="226"/>
    </row>
    <row r="1043" spans="10:10" ht="13">
      <c r="J1043" s="226"/>
    </row>
    <row r="1044" spans="10:10" ht="13">
      <c r="J1044" s="226"/>
    </row>
    <row r="1045" spans="10:10" ht="13">
      <c r="J1045" s="226"/>
    </row>
    <row r="1046" spans="10:10" ht="13">
      <c r="J1046" s="226"/>
    </row>
    <row r="1047" spans="10:10" ht="13">
      <c r="J1047" s="226"/>
    </row>
    <row r="1048" spans="10:10" ht="13">
      <c r="J1048" s="226"/>
    </row>
    <row r="1049" spans="10:10" ht="13">
      <c r="J1049" s="226"/>
    </row>
    <row r="1050" spans="10:10" ht="13">
      <c r="J1050" s="226"/>
    </row>
    <row r="1051" spans="10:10" ht="13">
      <c r="J1051" s="226"/>
    </row>
    <row r="1052" spans="10:10" ht="13">
      <c r="J1052" s="226"/>
    </row>
    <row r="1053" spans="10:10" ht="13">
      <c r="J1053" s="226"/>
    </row>
    <row r="1054" spans="10:10" ht="13">
      <c r="J1054" s="226"/>
    </row>
    <row r="1055" spans="10:10" ht="13">
      <c r="J1055" s="226"/>
    </row>
    <row r="1056" spans="10:10" ht="13">
      <c r="J1056" s="226"/>
    </row>
    <row r="1057" spans="10:10" ht="13">
      <c r="J1057" s="226"/>
    </row>
    <row r="1058" spans="10:10" ht="13">
      <c r="J1058" s="226"/>
    </row>
    <row r="1059" spans="10:10" ht="13">
      <c r="J1059" s="226"/>
    </row>
    <row r="1060" spans="10:10" ht="13">
      <c r="J1060" s="226"/>
    </row>
    <row r="1061" spans="10:10" ht="13">
      <c r="J1061" s="226"/>
    </row>
    <row r="1062" spans="10:10" ht="13">
      <c r="J1062" s="226"/>
    </row>
    <row r="1063" spans="10:10" ht="13">
      <c r="J1063" s="226"/>
    </row>
    <row r="1064" spans="10:10" ht="13">
      <c r="J1064" s="226"/>
    </row>
    <row r="1065" spans="10:10" ht="13">
      <c r="J1065" s="226"/>
    </row>
    <row r="1066" spans="10:10" ht="13">
      <c r="J1066" s="226"/>
    </row>
    <row r="1067" spans="10:10" ht="13">
      <c r="J1067" s="226"/>
    </row>
    <row r="1068" spans="10:10" ht="13">
      <c r="J1068" s="226"/>
    </row>
    <row r="1069" spans="10:10" ht="13">
      <c r="J1069" s="226"/>
    </row>
    <row r="1070" spans="10:10" ht="13">
      <c r="J1070" s="226"/>
    </row>
    <row r="1071" spans="10:10" ht="13">
      <c r="J1071" s="226"/>
    </row>
    <row r="1072" spans="10:10" ht="13">
      <c r="J1072" s="226"/>
    </row>
    <row r="1073" spans="10:10" ht="13">
      <c r="J1073" s="226"/>
    </row>
    <row r="1074" spans="10:10" ht="13">
      <c r="J1074" s="226"/>
    </row>
    <row r="1075" spans="10:10" ht="13">
      <c r="J1075" s="226"/>
    </row>
    <row r="1076" spans="10:10" ht="13">
      <c r="J1076" s="226"/>
    </row>
  </sheetData>
  <autoFilter ref="X3:X1076" xr:uid="{00000000-0009-0000-0000-00000C000000}"/>
  <conditionalFormatting sqref="C3:C101">
    <cfRule type="expression" dxfId="85" priority="1">
      <formula>(TODAY()-Q3)&lt;0</formula>
    </cfRule>
  </conditionalFormatting>
  <conditionalFormatting sqref="C3:C101">
    <cfRule type="expression" dxfId="84" priority="2">
      <formula>(TODAY()-Q3)&lt;180</formula>
    </cfRule>
  </conditionalFormatting>
  <conditionalFormatting sqref="D1:D1076">
    <cfRule type="cellIs" dxfId="83" priority="3" operator="between">
      <formula>50</formula>
      <formula>200</formula>
    </cfRule>
  </conditionalFormatting>
  <conditionalFormatting sqref="D1:D1076">
    <cfRule type="cellIs" dxfId="82" priority="4" operator="between">
      <formula>201</formula>
      <formula>400</formula>
    </cfRule>
  </conditionalFormatting>
  <conditionalFormatting sqref="D3:D1071">
    <cfRule type="cellIs" dxfId="81" priority="5" operator="between">
      <formula>401</formula>
      <formula>650</formula>
    </cfRule>
  </conditionalFormatting>
  <conditionalFormatting sqref="D3:D1071">
    <cfRule type="cellIs" dxfId="80" priority="6" operator="between">
      <formula>651</formula>
      <formula>900</formula>
    </cfRule>
  </conditionalFormatting>
  <conditionalFormatting sqref="D3:D1071">
    <cfRule type="cellIs" dxfId="79" priority="7" operator="greaterThan">
      <formula>900</formula>
    </cfRule>
  </conditionalFormatting>
  <conditionalFormatting sqref="M3:M1060 T5:T1071">
    <cfRule type="containsText" dxfId="78" priority="8" operator="containsText" text="yes">
      <formula>NOT(ISERROR(SEARCH(("yes"),(M3))))</formula>
    </cfRule>
  </conditionalFormatting>
  <conditionalFormatting sqref="H1:H1076">
    <cfRule type="colorScale" priority="9">
      <colorScale>
        <cfvo type="min"/>
        <cfvo type="formula" val="150"/>
        <color rgb="FFEAD1DC"/>
        <color rgb="FFA64D79"/>
      </colorScale>
    </cfRule>
  </conditionalFormatting>
  <conditionalFormatting sqref="F3:F84">
    <cfRule type="colorScale" priority="10">
      <colorScale>
        <cfvo type="formula" val="1.2"/>
        <cfvo type="formula" val="4"/>
        <color rgb="FF0B5394"/>
        <color rgb="FFFFFFFF"/>
      </colorScale>
    </cfRule>
  </conditionalFormatting>
  <conditionalFormatting sqref="G3:G84">
    <cfRule type="colorScale" priority="11">
      <colorScale>
        <cfvo type="formula" val="65"/>
        <cfvo type="formula" val="100"/>
        <color rgb="FFD9D2E9"/>
        <color rgb="FF674EA7"/>
      </colorScale>
    </cfRule>
  </conditionalFormatting>
  <conditionalFormatting sqref="F3:F84">
    <cfRule type="containsText" dxfId="77" priority="12" operator="containsText" text="1.2">
      <formula>NOT(ISERROR(SEARCH(("1.2"),(F3))))</formula>
    </cfRule>
  </conditionalFormatting>
  <conditionalFormatting sqref="F12 F14">
    <cfRule type="notContainsBlanks" dxfId="76" priority="13">
      <formula>LEN(TRIM(F12))&gt;0</formula>
    </cfRule>
  </conditionalFormatting>
  <conditionalFormatting sqref="F3:F84">
    <cfRule type="containsText" dxfId="75" priority="14" operator="containsText" text="1.4">
      <formula>NOT(ISERROR(SEARCH(("1.4"),(F3))))</formula>
    </cfRule>
  </conditionalFormatting>
  <conditionalFormatting sqref="F3:F103">
    <cfRule type="containsText" dxfId="74" priority="15" operator="containsText" text="1.8">
      <formula>NOT(ISERROR(SEARCH(("1.8"),(F3))))</formula>
    </cfRule>
  </conditionalFormatting>
  <conditionalFormatting sqref="C5:C102">
    <cfRule type="expression" dxfId="73" priority="16">
      <formula>(TODAY()-V5)&lt;0</formula>
    </cfRule>
  </conditionalFormatting>
  <conditionalFormatting sqref="C5:C102">
    <cfRule type="expression" dxfId="72" priority="17">
      <formula>(TODAY()-V5)&lt;180</formula>
    </cfRule>
  </conditionalFormatting>
  <conditionalFormatting sqref="I3:I114">
    <cfRule type="cellIs" dxfId="71" priority="18" operator="equal">
      <formula>"MF"</formula>
    </cfRule>
  </conditionalFormatting>
  <conditionalFormatting sqref="K3:K114">
    <cfRule type="cellIs" dxfId="70" priority="19" operator="between">
      <formula>0.24</formula>
      <formula>0.45</formula>
    </cfRule>
  </conditionalFormatting>
  <conditionalFormatting sqref="K3:K114">
    <cfRule type="cellIs" dxfId="69" priority="20" operator="between">
      <formula>0.45</formula>
      <formula>0.99</formula>
    </cfRule>
  </conditionalFormatting>
  <conditionalFormatting sqref="K3:K114">
    <cfRule type="cellIs" dxfId="68" priority="21" operator="greaterThan">
      <formula>0.99</formula>
    </cfRule>
  </conditionalFormatting>
  <conditionalFormatting sqref="N5:N84">
    <cfRule type="cellIs" dxfId="67" priority="22" operator="lessThan">
      <formula>"25%"</formula>
    </cfRule>
  </conditionalFormatting>
  <conditionalFormatting sqref="N5:N84">
    <cfRule type="cellIs" dxfId="66" priority="23" operator="between">
      <formula>"25%"</formula>
      <formula>"45%"</formula>
    </cfRule>
  </conditionalFormatting>
  <conditionalFormatting sqref="N5:N84">
    <cfRule type="cellIs" dxfId="65" priority="24" operator="greaterThan">
      <formula>"45%"</formula>
    </cfRule>
  </conditionalFormatting>
  <dataValidations count="1">
    <dataValidation type="list" allowBlank="1" sqref="P3:P83" xr:uid="{00000000-0002-0000-0C00-000000000000}">
      <formula1>"Sony,Voigtlander,Zeiss,Sigma,Samyang,Viltrox,Tokina,Tamron"</formula1>
    </dataValidation>
  </dataValidations>
  <hyperlinks>
    <hyperlink ref="T1" r:id="rId1" xr:uid="{00000000-0004-0000-0C00-000000000000}"/>
    <hyperlink ref="V1" r:id="rId2" xr:uid="{00000000-0004-0000-0C00-000001000000}"/>
    <hyperlink ref="W1" r:id="rId3" xr:uid="{00000000-0004-0000-0C00-000002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Y1076"/>
  <sheetViews>
    <sheetView workbookViewId="0">
      <pane xSplit="3" ySplit="3" topLeftCell="D4" activePane="bottomRight" state="frozen"/>
      <selection pane="topRight" activeCell="D1" sqref="D1"/>
      <selection pane="bottomLeft" activeCell="A4" sqref="A4"/>
      <selection pane="bottomRight" activeCell="D4" sqref="D4"/>
    </sheetView>
  </sheetViews>
  <sheetFormatPr baseColWidth="10" defaultColWidth="14.5" defaultRowHeight="15.75" customHeight="1"/>
  <cols>
    <col min="1" max="2" width="4" customWidth="1"/>
    <col min="3" max="3" width="29.1640625" customWidth="1"/>
    <col min="4" max="4" width="6.5" customWidth="1"/>
    <col min="5" max="5" width="8.1640625" customWidth="1"/>
    <col min="6" max="6" width="8" customWidth="1"/>
    <col min="7" max="8" width="7.33203125" customWidth="1"/>
    <col min="9" max="9" width="4" customWidth="1"/>
    <col min="10" max="10" width="7.1640625" customWidth="1"/>
    <col min="11" max="11" width="4.5" customWidth="1"/>
    <col min="12" max="12" width="7.5" customWidth="1"/>
    <col min="13" max="13" width="5.5" customWidth="1"/>
    <col min="14" max="14" width="5" customWidth="1"/>
    <col min="15" max="15" width="6.1640625" customWidth="1"/>
    <col min="16" max="16" width="13.33203125" customWidth="1"/>
    <col min="17" max="17" width="7.5" customWidth="1"/>
    <col min="18" max="19" width="7.6640625" customWidth="1"/>
    <col min="20" max="23" width="4" customWidth="1"/>
    <col min="24" max="24" width="7.5" customWidth="1"/>
  </cols>
  <sheetData>
    <row r="1" spans="1:25" ht="76.5" customHeight="1">
      <c r="A1" s="613"/>
      <c r="B1" s="613"/>
      <c r="C1" s="1" t="s">
        <v>0</v>
      </c>
      <c r="D1" s="2" t="s">
        <v>1</v>
      </c>
      <c r="E1" s="3" t="s">
        <v>2</v>
      </c>
      <c r="F1" s="4" t="s">
        <v>3</v>
      </c>
      <c r="G1" s="5" t="s">
        <v>4</v>
      </c>
      <c r="H1" s="6" t="s">
        <v>5</v>
      </c>
      <c r="I1" s="7" t="s">
        <v>6</v>
      </c>
      <c r="J1" s="8" t="s">
        <v>7</v>
      </c>
      <c r="K1" s="3" t="s">
        <v>8</v>
      </c>
      <c r="L1" s="3" t="s">
        <v>10</v>
      </c>
      <c r="M1" s="5" t="s">
        <v>11</v>
      </c>
      <c r="N1" s="3" t="s">
        <v>12</v>
      </c>
      <c r="O1" s="3" t="s">
        <v>13</v>
      </c>
      <c r="P1" s="3" t="s">
        <v>14</v>
      </c>
      <c r="Q1" s="3" t="s">
        <v>15</v>
      </c>
      <c r="R1" s="9" t="s">
        <v>9</v>
      </c>
      <c r="S1" s="9" t="s">
        <v>16</v>
      </c>
      <c r="T1" s="10" t="s">
        <v>18</v>
      </c>
      <c r="U1" s="11" t="s">
        <v>19</v>
      </c>
      <c r="V1" s="10" t="s">
        <v>20</v>
      </c>
      <c r="W1" s="12" t="s">
        <v>21</v>
      </c>
      <c r="X1" s="13" t="s">
        <v>22</v>
      </c>
    </row>
    <row r="2" spans="1:25" ht="15">
      <c r="A2" s="613"/>
      <c r="B2" s="613"/>
      <c r="C2" s="14" t="s">
        <v>23</v>
      </c>
      <c r="D2" s="15"/>
      <c r="E2" s="15"/>
      <c r="F2" s="15"/>
      <c r="G2" s="15"/>
      <c r="H2" s="15"/>
      <c r="I2" s="16"/>
      <c r="J2" s="17"/>
      <c r="K2" s="15"/>
      <c r="L2" s="15"/>
      <c r="M2" s="16"/>
      <c r="N2" s="15"/>
      <c r="O2" s="16"/>
      <c r="P2" s="18"/>
      <c r="Q2" s="16"/>
      <c r="R2" s="15"/>
      <c r="S2" s="15"/>
      <c r="T2" s="15"/>
      <c r="U2" s="15"/>
      <c r="V2" s="15"/>
      <c r="W2" s="15"/>
    </row>
    <row r="3" spans="1:25" ht="13">
      <c r="A3" s="614"/>
      <c r="B3" s="614" t="b">
        <f ca="1">IFERROR(__xludf.DUMMYFUNCTION("Query(Beta!B5:S102, ""where B = TRUE"")"),TRUE)</f>
        <v>1</v>
      </c>
      <c r="C3" s="172" t="str">
        <f ca="1">IFERROR(__xludf.DUMMYFUNCTION("""COMPUTED_VALUE"""),"Voigtlander 50mm F2 APO-Lanthar")</f>
        <v>Voigtlander 50mm F2 APO-Lanthar</v>
      </c>
      <c r="D3" s="21">
        <f ca="1">IFERROR(__xludf.DUMMYFUNCTION("""COMPUTED_VALUE"""),364)</f>
        <v>364</v>
      </c>
      <c r="E3" s="23">
        <f ca="1">IFERROR(__xludf.DUMMYFUNCTION("""COMPUTED_VALUE"""),50)</f>
        <v>50</v>
      </c>
      <c r="F3" s="25">
        <f ca="1">IFERROR(__xludf.DUMMYFUNCTION("""COMPUTED_VALUE"""),2)</f>
        <v>2</v>
      </c>
      <c r="G3" s="27">
        <f ca="1">IFERROR(__xludf.DUMMYFUNCTION("""COMPUTED_VALUE"""),63)</f>
        <v>63</v>
      </c>
      <c r="H3" s="29">
        <f ca="1">IFERROR(__xludf.DUMMYFUNCTION("""COMPUTED_VALUE"""),61)</f>
        <v>61</v>
      </c>
      <c r="I3" s="31" t="str">
        <f ca="1">IFERROR(__xludf.DUMMYFUNCTION("""COMPUTED_VALUE"""),"MF")</f>
        <v>MF</v>
      </c>
      <c r="J3" s="33" t="str">
        <f ca="1">IFERROR(__xludf.DUMMYFUNCTION("""COMPUTED_VALUE"""),"49mm")</f>
        <v>49mm</v>
      </c>
      <c r="K3" s="35" t="str">
        <f ca="1">IFERROR(__xludf.DUMMYFUNCTION("""COMPUTED_VALUE"""),"")</f>
        <v/>
      </c>
      <c r="L3" s="37">
        <f ca="1">IFERROR(__xludf.DUMMYFUNCTION("""COMPUTED_VALUE"""),45)</f>
        <v>45</v>
      </c>
      <c r="M3" s="39" t="str">
        <f ca="1">IFERROR(__xludf.DUMMYFUNCTION("""COMPUTED_VALUE"""),"no")</f>
        <v>no</v>
      </c>
      <c r="N3" s="35">
        <f ca="1">IFERROR(__xludf.DUMMYFUNCTION("""COMPUTED_VALUE"""),12)</f>
        <v>12</v>
      </c>
      <c r="O3" s="40">
        <f ca="1">IFERROR(__xludf.DUMMYFUNCTION("""COMPUTED_VALUE"""),43687)</f>
        <v>43687</v>
      </c>
      <c r="P3" s="35" t="str">
        <f ca="1">IFERROR(__xludf.DUMMYFUNCTION("""COMPUTED_VALUE"""),"Voigtlander")</f>
        <v>Voigtlander</v>
      </c>
      <c r="Q3" s="42">
        <f ca="1">IFERROR(__xludf.DUMMYFUNCTION("""COMPUTED_VALUE"""),43831)</f>
        <v>43831</v>
      </c>
      <c r="R3" s="44" t="str">
        <f ca="1">IFERROR(__xludf.DUMMYFUNCTION("""COMPUTED_VALUE"""),"")</f>
        <v/>
      </c>
      <c r="S3" s="44" t="str">
        <f ca="1">IFERROR(__xludf.DUMMYFUNCTION("""COMPUTED_VALUE"""),"")</f>
        <v/>
      </c>
      <c r="T3" s="174"/>
      <c r="U3" s="174"/>
      <c r="V3" s="174"/>
      <c r="W3" s="174"/>
      <c r="X3" s="56"/>
    </row>
    <row r="4" spans="1:25" ht="18" customHeight="1">
      <c r="A4" s="617" t="b">
        <f ca="1">IFERROR(__xludf.DUMMYFUNCTION("Query(Beta!A5:S102, ""where A = TRUE"")"),TRUE)</f>
        <v>1</v>
      </c>
      <c r="B4" s="14" t="b">
        <f ca="1">IFERROR(__xludf.DUMMYFUNCTION("""COMPUTED_VALUE"""),FALSE)</f>
        <v>0</v>
      </c>
      <c r="C4" s="66" t="str">
        <f ca="1">IFERROR(__xludf.DUMMYFUNCTION("""COMPUTED_VALUE"""),"Zeiss Loxia 50mm F2")</f>
        <v>Zeiss Loxia 50mm F2</v>
      </c>
      <c r="D4" s="50">
        <f ca="1">IFERROR(__xludf.DUMMYFUNCTION("""COMPUTED_VALUE"""),320)</f>
        <v>320</v>
      </c>
      <c r="E4" s="68">
        <f ca="1">IFERROR(__xludf.DUMMYFUNCTION("""COMPUTED_VALUE"""),50)</f>
        <v>50</v>
      </c>
      <c r="F4" s="52">
        <f ca="1">IFERROR(__xludf.DUMMYFUNCTION("""COMPUTED_VALUE"""),2)</f>
        <v>2</v>
      </c>
      <c r="G4" s="78">
        <f ca="1">IFERROR(__xludf.DUMMYFUNCTION("""COMPUTED_VALUE"""),62)</f>
        <v>62</v>
      </c>
      <c r="H4" s="51">
        <f ca="1">IFERROR(__xludf.DUMMYFUNCTION("""COMPUTED_VALUE"""),60)</f>
        <v>60</v>
      </c>
      <c r="I4" s="73" t="str">
        <f ca="1">IFERROR(__xludf.DUMMYFUNCTION("""COMPUTED_VALUE"""),"MF")</f>
        <v>MF</v>
      </c>
      <c r="J4" s="57" t="str">
        <f ca="1">IFERROR(__xludf.DUMMYFUNCTION("""COMPUTED_VALUE"""),"52mm")</f>
        <v>52mm</v>
      </c>
      <c r="K4" s="59">
        <f ca="1">IFERROR(__xludf.DUMMYFUNCTION("""COMPUTED_VALUE"""),0.15)</f>
        <v>0.15</v>
      </c>
      <c r="L4" s="71">
        <f ca="1">IFERROR(__xludf.DUMMYFUNCTION("""COMPUTED_VALUE"""),45)</f>
        <v>45</v>
      </c>
      <c r="M4" s="73" t="str">
        <f ca="1">IFERROR(__xludf.DUMMYFUNCTION("""COMPUTED_VALUE"""),"no")</f>
        <v>no</v>
      </c>
      <c r="N4" s="59">
        <f ca="1">IFERROR(__xludf.DUMMYFUNCTION("""COMPUTED_VALUE"""),10)</f>
        <v>10</v>
      </c>
      <c r="O4" s="81">
        <f ca="1">IFERROR(__xludf.DUMMYFUNCTION("""COMPUTED_VALUE"""),43561)</f>
        <v>43561</v>
      </c>
      <c r="P4" s="59" t="str">
        <f ca="1">IFERROR(__xludf.DUMMYFUNCTION("""COMPUTED_VALUE"""),"Zeiss")</f>
        <v>Zeiss</v>
      </c>
      <c r="Q4" s="83">
        <f ca="1">IFERROR(__xludf.DUMMYFUNCTION("""COMPUTED_VALUE"""),41913)</f>
        <v>41913</v>
      </c>
      <c r="R4" s="61">
        <f ca="1">IFERROR(__xludf.DUMMYFUNCTION("""COMPUTED_VALUE"""),949)</f>
        <v>949</v>
      </c>
      <c r="S4" s="61">
        <f ca="1">IFERROR(__xludf.DUMMYFUNCTION("""COMPUTED_VALUE"""),500)</f>
        <v>500</v>
      </c>
      <c r="T4" s="63"/>
      <c r="U4" s="63"/>
      <c r="V4" s="63"/>
      <c r="W4" s="63"/>
    </row>
    <row r="5" spans="1:25" ht="13">
      <c r="A5" s="117"/>
      <c r="B5" s="615"/>
      <c r="C5" s="172"/>
      <c r="D5" s="21"/>
      <c r="E5" s="23"/>
      <c r="F5" s="25"/>
      <c r="G5" s="95"/>
      <c r="H5" s="29"/>
      <c r="I5" s="39"/>
      <c r="J5" s="33"/>
      <c r="K5" s="35"/>
      <c r="L5" s="37"/>
      <c r="M5" s="39"/>
      <c r="N5" s="35"/>
      <c r="O5" s="40"/>
      <c r="P5" s="35"/>
      <c r="Q5" s="42"/>
      <c r="R5" s="44"/>
      <c r="S5" s="44"/>
      <c r="T5" s="97"/>
      <c r="U5" s="97"/>
      <c r="V5" s="97"/>
      <c r="W5" s="174"/>
      <c r="X5" s="56"/>
    </row>
    <row r="6" spans="1:25" ht="13">
      <c r="A6" s="207"/>
      <c r="B6" s="616"/>
      <c r="C6" s="66"/>
      <c r="D6" s="50"/>
      <c r="E6" s="68"/>
      <c r="F6" s="106"/>
      <c r="G6" s="108"/>
      <c r="H6" s="109"/>
      <c r="I6" s="59"/>
      <c r="J6" s="57"/>
      <c r="K6" s="59"/>
      <c r="L6" s="71"/>
      <c r="M6" s="73"/>
      <c r="N6" s="59"/>
      <c r="O6" s="110"/>
      <c r="P6" s="59"/>
      <c r="Q6" s="83"/>
      <c r="R6" s="61"/>
      <c r="S6" s="61"/>
      <c r="T6" s="63"/>
      <c r="U6" s="63"/>
      <c r="V6" s="63"/>
      <c r="W6" s="63"/>
    </row>
    <row r="7" spans="1:25" ht="13">
      <c r="A7" s="117"/>
      <c r="B7" s="615"/>
      <c r="C7" s="58"/>
      <c r="D7" s="60"/>
      <c r="E7" s="62"/>
      <c r="F7" s="64"/>
      <c r="G7" s="65"/>
      <c r="H7" s="103"/>
      <c r="I7" s="74"/>
      <c r="J7" s="72"/>
      <c r="K7" s="74"/>
      <c r="L7" s="84"/>
      <c r="M7" s="70"/>
      <c r="N7" s="74"/>
      <c r="O7" s="115"/>
      <c r="P7" s="74"/>
      <c r="Q7" s="88"/>
      <c r="R7" s="76"/>
      <c r="S7" s="76"/>
      <c r="T7" s="121"/>
      <c r="U7" s="121"/>
      <c r="V7" s="113"/>
      <c r="W7" s="121"/>
    </row>
    <row r="8" spans="1:25" ht="13">
      <c r="A8" s="207"/>
      <c r="B8" s="616"/>
      <c r="C8" s="120"/>
      <c r="D8" s="21"/>
      <c r="E8" s="23"/>
      <c r="F8" s="25"/>
      <c r="G8" s="122"/>
      <c r="H8" s="123"/>
      <c r="I8" s="35"/>
      <c r="J8" s="33"/>
      <c r="K8" s="35"/>
      <c r="L8" s="37"/>
      <c r="M8" s="39"/>
      <c r="N8" s="35"/>
      <c r="O8" s="124"/>
      <c r="P8" s="35"/>
      <c r="Q8" s="42"/>
      <c r="R8" s="44"/>
      <c r="S8" s="44"/>
      <c r="T8" s="174"/>
      <c r="U8" s="174"/>
      <c r="V8" s="174"/>
      <c r="W8" s="174"/>
      <c r="X8" s="130"/>
    </row>
    <row r="9" spans="1:25" ht="13">
      <c r="A9" s="207"/>
      <c r="B9" s="616"/>
      <c r="C9" s="618"/>
      <c r="D9" s="133"/>
      <c r="E9" s="135"/>
      <c r="F9" s="137"/>
      <c r="G9" s="139"/>
      <c r="H9" s="141"/>
      <c r="I9" s="143"/>
      <c r="J9" s="145"/>
      <c r="K9" s="146"/>
      <c r="L9" s="147"/>
      <c r="M9" s="143"/>
      <c r="N9" s="146"/>
      <c r="O9" s="149"/>
      <c r="P9" s="146"/>
      <c r="Q9" s="150"/>
      <c r="R9" s="151"/>
      <c r="S9" s="151"/>
      <c r="T9" s="619"/>
      <c r="U9" s="619"/>
      <c r="V9" s="619"/>
      <c r="W9" s="619"/>
      <c r="X9" s="130"/>
    </row>
    <row r="10" spans="1:25" ht="13">
      <c r="A10" s="207"/>
      <c r="B10" s="616"/>
      <c r="C10" s="620"/>
      <c r="D10" s="50"/>
      <c r="E10" s="68"/>
      <c r="F10" s="52"/>
      <c r="G10" s="78"/>
      <c r="H10" s="51"/>
      <c r="I10" s="73"/>
      <c r="J10" s="57"/>
      <c r="K10" s="59"/>
      <c r="L10" s="71"/>
      <c r="M10" s="158"/>
      <c r="N10" s="59"/>
      <c r="O10" s="75"/>
      <c r="P10" s="59"/>
      <c r="Q10" s="83"/>
      <c r="R10" s="61"/>
      <c r="S10" s="61"/>
      <c r="T10" s="63"/>
      <c r="U10" s="63"/>
      <c r="V10" s="63"/>
      <c r="W10" s="63"/>
    </row>
    <row r="11" spans="1:25" ht="13">
      <c r="A11" s="117"/>
      <c r="B11" s="615"/>
      <c r="C11" s="120"/>
      <c r="D11" s="21"/>
      <c r="E11" s="23"/>
      <c r="F11" s="25"/>
      <c r="G11" s="122"/>
      <c r="H11" s="123"/>
      <c r="I11" s="39"/>
      <c r="J11" s="33"/>
      <c r="K11" s="35"/>
      <c r="L11" s="37"/>
      <c r="M11" s="39"/>
      <c r="N11" s="35"/>
      <c r="O11" s="162"/>
      <c r="P11" s="35"/>
      <c r="Q11" s="42"/>
      <c r="R11" s="44"/>
      <c r="S11" s="44"/>
      <c r="T11" s="174"/>
      <c r="U11" s="174"/>
      <c r="V11" s="174"/>
      <c r="W11" s="174"/>
      <c r="X11" s="130"/>
    </row>
    <row r="12" spans="1:25" ht="13">
      <c r="A12" s="117"/>
      <c r="B12" s="615"/>
      <c r="C12" s="618"/>
      <c r="D12" s="133"/>
      <c r="E12" s="135"/>
      <c r="F12" s="137"/>
      <c r="G12" s="164"/>
      <c r="H12" s="166"/>
      <c r="I12" s="143"/>
      <c r="J12" s="145"/>
      <c r="K12" s="146"/>
      <c r="L12" s="147"/>
      <c r="M12" s="143"/>
      <c r="N12" s="146"/>
      <c r="O12" s="149"/>
      <c r="P12" s="146"/>
      <c r="Q12" s="150"/>
      <c r="R12" s="168"/>
      <c r="S12" s="151"/>
      <c r="T12" s="619"/>
      <c r="U12" s="619"/>
      <c r="V12" s="619"/>
      <c r="W12" s="619"/>
      <c r="X12" s="130"/>
      <c r="Y12" s="160"/>
    </row>
    <row r="13" spans="1:25" ht="13">
      <c r="A13" s="207"/>
      <c r="B13" s="616"/>
      <c r="C13" s="620"/>
      <c r="D13" s="50"/>
      <c r="E13" s="68"/>
      <c r="F13" s="52"/>
      <c r="G13" s="78"/>
      <c r="H13" s="51"/>
      <c r="I13" s="73"/>
      <c r="J13" s="57"/>
      <c r="K13" s="59"/>
      <c r="L13" s="71"/>
      <c r="M13" s="73"/>
      <c r="N13" s="59"/>
      <c r="O13" s="75"/>
      <c r="P13" s="59"/>
      <c r="Q13" s="83"/>
      <c r="R13" s="61"/>
      <c r="S13" s="61"/>
      <c r="T13" s="63"/>
      <c r="U13" s="63"/>
      <c r="V13" s="63"/>
      <c r="W13" s="63"/>
    </row>
    <row r="14" spans="1:25" ht="13">
      <c r="A14" s="117"/>
      <c r="B14" s="615"/>
      <c r="C14" s="172"/>
      <c r="D14" s="21"/>
      <c r="E14" s="23"/>
      <c r="F14" s="25"/>
      <c r="G14" s="122"/>
      <c r="H14" s="123"/>
      <c r="I14" s="39"/>
      <c r="J14" s="33"/>
      <c r="K14" s="35"/>
      <c r="L14" s="37"/>
      <c r="M14" s="39"/>
      <c r="N14" s="35"/>
      <c r="O14" s="162"/>
      <c r="P14" s="35"/>
      <c r="Q14" s="42"/>
      <c r="R14" s="44"/>
      <c r="S14" s="44"/>
      <c r="T14" s="174"/>
      <c r="U14" s="174"/>
      <c r="V14" s="174"/>
      <c r="W14" s="174"/>
      <c r="X14" s="130"/>
    </row>
    <row r="15" spans="1:25" ht="15.75" customHeight="1">
      <c r="A15" s="117"/>
      <c r="B15" s="615"/>
      <c r="C15" s="66"/>
      <c r="D15" s="50"/>
      <c r="E15" s="68"/>
      <c r="F15" s="177"/>
      <c r="G15" s="78"/>
      <c r="H15" s="51"/>
      <c r="I15" s="59"/>
      <c r="J15" s="57"/>
      <c r="K15" s="59"/>
      <c r="L15" s="71"/>
      <c r="M15" s="73"/>
      <c r="N15" s="59"/>
      <c r="O15" s="110"/>
      <c r="P15" s="59"/>
      <c r="Q15" s="83"/>
      <c r="R15" s="61"/>
      <c r="S15" s="61"/>
      <c r="T15" s="63"/>
      <c r="U15" s="63"/>
      <c r="V15" s="63"/>
      <c r="W15" s="63"/>
    </row>
    <row r="16" spans="1:25" ht="13">
      <c r="A16" s="117"/>
      <c r="B16" s="615"/>
      <c r="C16" s="58"/>
      <c r="D16" s="60"/>
      <c r="E16" s="62"/>
      <c r="F16" s="100"/>
      <c r="G16" s="65"/>
      <c r="H16" s="67"/>
      <c r="I16" s="74"/>
      <c r="J16" s="72"/>
      <c r="K16" s="74"/>
      <c r="L16" s="84"/>
      <c r="M16" s="70"/>
      <c r="N16" s="74"/>
      <c r="O16" s="112"/>
      <c r="P16" s="74"/>
      <c r="Q16" s="88"/>
      <c r="R16" s="76"/>
      <c r="S16" s="76"/>
      <c r="T16" s="121"/>
      <c r="U16" s="121"/>
      <c r="V16" s="121"/>
      <c r="W16" s="121"/>
    </row>
    <row r="17" spans="1:24" ht="15.75" customHeight="1">
      <c r="A17" s="207"/>
      <c r="B17" s="616"/>
      <c r="C17" s="163"/>
      <c r="D17" s="60"/>
      <c r="E17" s="62"/>
      <c r="F17" s="173"/>
      <c r="G17" s="187"/>
      <c r="H17" s="188"/>
      <c r="I17" s="70"/>
      <c r="J17" s="72"/>
      <c r="K17" s="74"/>
      <c r="L17" s="84"/>
      <c r="M17" s="70"/>
      <c r="N17" s="74"/>
      <c r="O17" s="136"/>
      <c r="P17" s="74"/>
      <c r="Q17" s="88"/>
      <c r="R17" s="184"/>
      <c r="S17" s="184"/>
      <c r="T17" s="121"/>
      <c r="U17" s="121"/>
      <c r="V17" s="121"/>
      <c r="W17" s="121"/>
    </row>
    <row r="18" spans="1:24" ht="13">
      <c r="A18" s="207"/>
      <c r="B18" s="616"/>
      <c r="C18" s="120"/>
      <c r="D18" s="21"/>
      <c r="E18" s="23"/>
      <c r="F18" s="190"/>
      <c r="G18" s="191"/>
      <c r="H18" s="193"/>
      <c r="I18" s="39"/>
      <c r="J18" s="33"/>
      <c r="K18" s="35"/>
      <c r="L18" s="37"/>
      <c r="M18" s="39"/>
      <c r="N18" s="35"/>
      <c r="O18" s="162"/>
      <c r="P18" s="35"/>
      <c r="Q18" s="42"/>
      <c r="R18" s="44"/>
      <c r="S18" s="44"/>
      <c r="T18" s="174"/>
      <c r="U18" s="174"/>
      <c r="V18" s="174"/>
      <c r="W18" s="174"/>
      <c r="X18" s="130"/>
    </row>
    <row r="19" spans="1:24" ht="13">
      <c r="A19" s="117"/>
      <c r="B19" s="615"/>
      <c r="C19" s="620"/>
      <c r="D19" s="50"/>
      <c r="E19" s="68"/>
      <c r="F19" s="206"/>
      <c r="G19" s="194"/>
      <c r="H19" s="195"/>
      <c r="I19" s="73"/>
      <c r="J19" s="57"/>
      <c r="K19" s="59"/>
      <c r="L19" s="71"/>
      <c r="M19" s="73"/>
      <c r="N19" s="59"/>
      <c r="O19" s="75"/>
      <c r="P19" s="59"/>
      <c r="Q19" s="83"/>
      <c r="R19" s="61"/>
      <c r="S19" s="61"/>
      <c r="T19" s="63"/>
      <c r="U19" s="63"/>
      <c r="V19" s="189"/>
      <c r="W19" s="63"/>
    </row>
    <row r="20" spans="1:24" ht="13">
      <c r="A20" s="207"/>
      <c r="B20" s="616"/>
      <c r="C20" s="163"/>
      <c r="D20" s="60"/>
      <c r="E20" s="62"/>
      <c r="F20" s="64"/>
      <c r="G20" s="194"/>
      <c r="H20" s="195"/>
      <c r="I20" s="70"/>
      <c r="J20" s="72"/>
      <c r="K20" s="74"/>
      <c r="L20" s="84"/>
      <c r="M20" s="70"/>
      <c r="N20" s="74"/>
      <c r="O20" s="136"/>
      <c r="P20" s="74"/>
      <c r="Q20" s="88"/>
      <c r="R20" s="76"/>
      <c r="S20" s="76"/>
      <c r="T20" s="121"/>
      <c r="U20" s="121"/>
      <c r="V20" s="121"/>
      <c r="W20" s="121"/>
    </row>
    <row r="21" spans="1:24" ht="13">
      <c r="A21" s="117"/>
      <c r="B21" s="615"/>
      <c r="C21" s="172"/>
      <c r="D21" s="21"/>
      <c r="E21" s="23"/>
      <c r="F21" s="25"/>
      <c r="G21" s="221"/>
      <c r="H21" s="193"/>
      <c r="I21" s="39"/>
      <c r="J21" s="33"/>
      <c r="K21" s="222"/>
      <c r="L21" s="37"/>
      <c r="M21" s="39"/>
      <c r="N21" s="35"/>
      <c r="O21" s="162"/>
      <c r="P21" s="35"/>
      <c r="Q21" s="42"/>
      <c r="R21" s="44"/>
      <c r="S21" s="44"/>
      <c r="T21" s="174"/>
      <c r="U21" s="174"/>
      <c r="V21" s="174"/>
      <c r="W21" s="174"/>
      <c r="X21" s="130"/>
    </row>
    <row r="22" spans="1:24" ht="13">
      <c r="A22" s="117"/>
      <c r="B22" s="615"/>
      <c r="C22" s="620"/>
      <c r="D22" s="50"/>
      <c r="E22" s="68"/>
      <c r="F22" s="206"/>
      <c r="G22" s="194"/>
      <c r="H22" s="195"/>
      <c r="I22" s="73"/>
      <c r="J22" s="57"/>
      <c r="K22" s="59"/>
      <c r="L22" s="71"/>
      <c r="M22" s="73"/>
      <c r="N22" s="59"/>
      <c r="O22" s="75"/>
      <c r="P22" s="59"/>
      <c r="Q22" s="83"/>
      <c r="R22" s="61"/>
      <c r="S22" s="61"/>
      <c r="T22" s="63"/>
      <c r="U22" s="63"/>
      <c r="V22" s="63"/>
      <c r="W22" s="63"/>
    </row>
    <row r="23" spans="1:24" ht="13">
      <c r="A23" s="117"/>
      <c r="B23" s="615"/>
      <c r="C23" s="58"/>
      <c r="D23" s="60"/>
      <c r="E23" s="62"/>
      <c r="F23" s="192"/>
      <c r="G23" s="194"/>
      <c r="H23" s="232"/>
      <c r="I23" s="74"/>
      <c r="J23" s="72"/>
      <c r="K23" s="74"/>
      <c r="L23" s="84"/>
      <c r="M23" s="70"/>
      <c r="N23" s="74"/>
      <c r="O23" s="112"/>
      <c r="P23" s="74"/>
      <c r="Q23" s="88"/>
      <c r="R23" s="76"/>
      <c r="S23" s="76"/>
      <c r="T23" s="121"/>
      <c r="U23" s="121"/>
      <c r="V23" s="121"/>
      <c r="W23" s="121"/>
    </row>
    <row r="24" spans="1:24" ht="13">
      <c r="A24" s="117"/>
      <c r="B24" s="615"/>
      <c r="C24" s="163"/>
      <c r="D24" s="60"/>
      <c r="E24" s="62"/>
      <c r="F24" s="64"/>
      <c r="G24" s="194"/>
      <c r="H24" s="176"/>
      <c r="I24" s="70"/>
      <c r="J24" s="72"/>
      <c r="K24" s="74"/>
      <c r="L24" s="84"/>
      <c r="M24" s="70"/>
      <c r="N24" s="74"/>
      <c r="O24" s="136"/>
      <c r="P24" s="74"/>
      <c r="Q24" s="88"/>
      <c r="R24" s="184"/>
      <c r="S24" s="184"/>
      <c r="T24" s="121"/>
      <c r="U24" s="121"/>
      <c r="V24" s="121"/>
      <c r="W24" s="121"/>
    </row>
    <row r="25" spans="1:24" ht="13">
      <c r="A25" s="207"/>
      <c r="B25" s="616"/>
      <c r="C25" s="198"/>
      <c r="D25" s="60"/>
      <c r="E25" s="62"/>
      <c r="F25" s="64"/>
      <c r="G25" s="194"/>
      <c r="H25" s="176"/>
      <c r="I25" s="70"/>
      <c r="J25" s="72"/>
      <c r="K25" s="201"/>
      <c r="L25" s="84"/>
      <c r="M25" s="70"/>
      <c r="N25" s="74"/>
      <c r="O25" s="136"/>
      <c r="P25" s="74"/>
      <c r="Q25" s="88"/>
      <c r="R25" s="76"/>
      <c r="S25" s="76"/>
      <c r="T25" s="121"/>
      <c r="U25" s="121"/>
      <c r="V25" s="121"/>
      <c r="W25" s="121"/>
    </row>
    <row r="26" spans="1:24" ht="13">
      <c r="A26" s="117"/>
      <c r="B26" s="615"/>
      <c r="C26" s="58"/>
      <c r="D26" s="60"/>
      <c r="E26" s="62"/>
      <c r="F26" s="64"/>
      <c r="G26" s="194"/>
      <c r="H26" s="176"/>
      <c r="I26" s="70"/>
      <c r="J26" s="72"/>
      <c r="K26" s="201"/>
      <c r="L26" s="84"/>
      <c r="M26" s="134"/>
      <c r="N26" s="74"/>
      <c r="O26" s="136"/>
      <c r="P26" s="74"/>
      <c r="Q26" s="88"/>
      <c r="R26" s="76"/>
      <c r="S26" s="76"/>
      <c r="T26" s="121"/>
      <c r="U26" s="121"/>
      <c r="V26" s="121"/>
      <c r="W26" s="121"/>
    </row>
    <row r="27" spans="1:24" ht="13">
      <c r="A27" s="117"/>
      <c r="B27" s="117"/>
      <c r="C27" s="58"/>
      <c r="D27" s="60"/>
      <c r="E27" s="62"/>
      <c r="F27" s="64"/>
      <c r="G27" s="194"/>
      <c r="H27" s="195"/>
      <c r="I27" s="70"/>
      <c r="J27" s="72"/>
      <c r="K27" s="201"/>
      <c r="L27" s="84"/>
      <c r="M27" s="134"/>
      <c r="N27" s="74"/>
      <c r="O27" s="136"/>
      <c r="P27" s="74"/>
      <c r="Q27" s="88"/>
      <c r="R27" s="76"/>
      <c r="T27" s="121"/>
      <c r="U27" s="121"/>
      <c r="V27" s="121"/>
      <c r="W27" s="121"/>
    </row>
    <row r="28" spans="1:24" ht="13">
      <c r="A28" s="207"/>
      <c r="B28" s="616"/>
      <c r="C28" s="172"/>
      <c r="D28" s="21"/>
      <c r="E28" s="23"/>
      <c r="F28" s="25"/>
      <c r="G28" s="221"/>
      <c r="H28" s="237"/>
      <c r="I28" s="39"/>
      <c r="J28" s="33"/>
      <c r="K28" s="35"/>
      <c r="L28" s="37"/>
      <c r="M28" s="238"/>
      <c r="N28" s="35"/>
      <c r="O28" s="162"/>
      <c r="P28" s="35"/>
      <c r="Q28" s="42"/>
      <c r="R28" s="44"/>
      <c r="S28" s="44"/>
      <c r="T28" s="174"/>
      <c r="U28" s="174"/>
      <c r="V28" s="174"/>
      <c r="W28" s="174"/>
      <c r="X28" s="130"/>
    </row>
    <row r="29" spans="1:24" ht="13">
      <c r="A29" s="207"/>
      <c r="B29" s="616"/>
      <c r="C29" s="620"/>
      <c r="D29" s="50"/>
      <c r="E29" s="68"/>
      <c r="F29" s="52"/>
      <c r="G29" s="194"/>
      <c r="H29" s="195"/>
      <c r="I29" s="73"/>
      <c r="J29" s="57"/>
      <c r="K29" s="59"/>
      <c r="L29" s="71"/>
      <c r="M29" s="73"/>
      <c r="N29" s="59"/>
      <c r="O29" s="75"/>
      <c r="P29" s="59"/>
      <c r="Q29" s="83"/>
      <c r="R29" s="61"/>
      <c r="S29" s="61"/>
      <c r="T29" s="63"/>
      <c r="U29" s="63"/>
      <c r="V29" s="63"/>
      <c r="W29" s="63"/>
    </row>
    <row r="30" spans="1:24" ht="13">
      <c r="A30" s="117"/>
      <c r="B30" s="615"/>
      <c r="C30" s="172"/>
      <c r="D30" s="21"/>
      <c r="E30" s="23"/>
      <c r="F30" s="25"/>
      <c r="G30" s="221"/>
      <c r="H30" s="237"/>
      <c r="I30" s="39"/>
      <c r="J30" s="33"/>
      <c r="K30" s="35"/>
      <c r="L30" s="37"/>
      <c r="M30" s="39"/>
      <c r="N30" s="35"/>
      <c r="O30" s="162"/>
      <c r="P30" s="35"/>
      <c r="Q30" s="42"/>
      <c r="R30" s="44"/>
      <c r="S30" s="44"/>
      <c r="T30" s="174"/>
      <c r="U30" s="174"/>
      <c r="V30" s="174"/>
      <c r="W30" s="174"/>
      <c r="X30" s="130"/>
    </row>
    <row r="31" spans="1:24" ht="13">
      <c r="A31" s="117"/>
      <c r="B31" s="615"/>
      <c r="C31" s="66"/>
      <c r="D31" s="50"/>
      <c r="E31" s="68"/>
      <c r="F31" s="52"/>
      <c r="G31" s="194"/>
      <c r="H31" s="195"/>
      <c r="I31" s="73"/>
      <c r="J31" s="57"/>
      <c r="K31" s="59"/>
      <c r="L31" s="71"/>
      <c r="M31" s="73"/>
      <c r="N31" s="59"/>
      <c r="O31" s="75"/>
      <c r="P31" s="59"/>
      <c r="Q31" s="83"/>
      <c r="R31" s="61"/>
      <c r="S31" s="61"/>
      <c r="T31" s="63"/>
      <c r="U31" s="63"/>
      <c r="V31" s="63"/>
      <c r="W31" s="63"/>
    </row>
    <row r="32" spans="1:24" ht="13">
      <c r="A32" s="117"/>
      <c r="B32" s="615"/>
      <c r="C32" s="163"/>
      <c r="D32" s="60"/>
      <c r="E32" s="62"/>
      <c r="F32" s="64"/>
      <c r="G32" s="194"/>
      <c r="H32" s="195"/>
      <c r="I32" s="70"/>
      <c r="J32" s="72"/>
      <c r="K32" s="74"/>
      <c r="L32" s="84"/>
      <c r="M32" s="70"/>
      <c r="N32" s="74"/>
      <c r="O32" s="136"/>
      <c r="P32" s="74"/>
      <c r="Q32" s="88"/>
      <c r="R32" s="156"/>
      <c r="S32" s="156"/>
      <c r="T32" s="121"/>
      <c r="U32" s="121"/>
      <c r="V32" s="121"/>
      <c r="W32" s="121"/>
    </row>
    <row r="33" spans="1:24" ht="13">
      <c r="A33" s="207"/>
      <c r="B33" s="616"/>
      <c r="C33" s="163"/>
      <c r="D33" s="60"/>
      <c r="E33" s="62"/>
      <c r="F33" s="64"/>
      <c r="G33" s="194"/>
      <c r="H33" s="195"/>
      <c r="I33" s="70"/>
      <c r="J33" s="72"/>
      <c r="K33" s="201"/>
      <c r="L33" s="84"/>
      <c r="M33" s="70"/>
      <c r="N33" s="74"/>
      <c r="O33" s="136"/>
      <c r="P33" s="74"/>
      <c r="Q33" s="88"/>
      <c r="R33" s="156"/>
      <c r="S33" s="76"/>
      <c r="T33" s="121"/>
      <c r="U33" s="121"/>
      <c r="V33" s="121"/>
      <c r="W33" s="121"/>
    </row>
    <row r="34" spans="1:24" ht="13">
      <c r="A34" s="117"/>
      <c r="B34" s="615"/>
      <c r="C34" s="58"/>
      <c r="D34" s="60"/>
      <c r="E34" s="62"/>
      <c r="F34" s="64"/>
      <c r="G34" s="194"/>
      <c r="H34" s="195"/>
      <c r="I34" s="70"/>
      <c r="J34" s="72"/>
      <c r="K34" s="74"/>
      <c r="L34" s="84"/>
      <c r="M34" s="134"/>
      <c r="N34" s="74"/>
      <c r="O34" s="136"/>
      <c r="P34" s="74"/>
      <c r="Q34" s="88"/>
      <c r="R34" s="76"/>
      <c r="S34" s="76"/>
      <c r="T34" s="121"/>
      <c r="U34" s="121"/>
      <c r="V34" s="121"/>
      <c r="W34" s="121"/>
    </row>
    <row r="35" spans="1:24" ht="13">
      <c r="A35" s="117"/>
      <c r="B35" s="615"/>
      <c r="C35" s="120"/>
      <c r="D35" s="21"/>
      <c r="E35" s="23"/>
      <c r="F35" s="25"/>
      <c r="G35" s="221"/>
      <c r="H35" s="237"/>
      <c r="I35" s="39"/>
      <c r="J35" s="240"/>
      <c r="K35" s="222"/>
      <c r="L35" s="37"/>
      <c r="M35" s="238"/>
      <c r="N35" s="35"/>
      <c r="O35" s="162"/>
      <c r="P35" s="35"/>
      <c r="Q35" s="42"/>
      <c r="R35" s="44"/>
      <c r="S35" s="44"/>
      <c r="T35" s="174"/>
      <c r="U35" s="174"/>
      <c r="V35" s="174"/>
      <c r="W35" s="174"/>
      <c r="X35" s="56"/>
    </row>
    <row r="36" spans="1:24" ht="15.75" customHeight="1">
      <c r="A36" s="207"/>
      <c r="B36" s="616"/>
      <c r="C36" s="620"/>
      <c r="D36" s="50"/>
      <c r="E36" s="68"/>
      <c r="F36" s="242"/>
      <c r="G36" s="194"/>
      <c r="H36" s="195"/>
      <c r="I36" s="59"/>
      <c r="J36" s="243"/>
      <c r="K36" s="59"/>
      <c r="L36" s="71"/>
      <c r="M36" s="73"/>
      <c r="N36" s="59"/>
      <c r="O36" s="110"/>
      <c r="P36" s="59"/>
      <c r="Q36" s="83"/>
      <c r="R36" s="61"/>
      <c r="S36" s="61"/>
      <c r="T36" s="63"/>
      <c r="U36" s="63"/>
      <c r="V36" s="189"/>
      <c r="W36" s="63"/>
    </row>
    <row r="37" spans="1:24" ht="13">
      <c r="A37" s="621"/>
      <c r="B37" s="622"/>
      <c r="C37" s="163"/>
      <c r="D37" s="60"/>
      <c r="E37" s="62"/>
      <c r="F37" s="64"/>
      <c r="G37" s="194"/>
      <c r="H37" s="195"/>
      <c r="I37" s="74"/>
      <c r="J37" s="72"/>
      <c r="K37" s="74"/>
      <c r="L37" s="84"/>
      <c r="M37" s="70"/>
      <c r="N37" s="74"/>
      <c r="O37" s="112"/>
      <c r="P37" s="74"/>
      <c r="Q37" s="88"/>
      <c r="R37" s="76"/>
      <c r="S37" s="76"/>
      <c r="T37" s="121"/>
      <c r="U37" s="121"/>
      <c r="V37" s="121"/>
      <c r="W37" s="121"/>
    </row>
    <row r="38" spans="1:24" ht="15.75" customHeight="1">
      <c r="A38" s="117"/>
      <c r="B38" s="615"/>
      <c r="C38" s="58"/>
      <c r="D38" s="60"/>
      <c r="E38" s="62"/>
      <c r="F38" s="64"/>
      <c r="G38" s="194"/>
      <c r="H38" s="176"/>
      <c r="I38" s="74"/>
      <c r="J38" s="72"/>
      <c r="K38" s="74"/>
      <c r="L38" s="84"/>
      <c r="M38" s="70"/>
      <c r="N38" s="74"/>
      <c r="O38" s="112"/>
      <c r="P38" s="74"/>
      <c r="Q38" s="88"/>
      <c r="R38" s="76"/>
      <c r="S38" s="76"/>
      <c r="T38" s="121"/>
      <c r="U38" s="121"/>
      <c r="V38" s="121"/>
      <c r="W38" s="121"/>
    </row>
    <row r="39" spans="1:24" ht="13">
      <c r="A39" s="117"/>
      <c r="B39" s="615"/>
      <c r="C39" s="163"/>
      <c r="D39" s="60"/>
      <c r="E39" s="62"/>
      <c r="F39" s="64"/>
      <c r="G39" s="194"/>
      <c r="H39" s="176"/>
      <c r="I39" s="74"/>
      <c r="J39" s="72"/>
      <c r="K39" s="74"/>
      <c r="L39" s="84"/>
      <c r="M39" s="70"/>
      <c r="N39" s="74"/>
      <c r="O39" s="112"/>
      <c r="P39" s="74"/>
      <c r="Q39" s="88"/>
      <c r="R39" s="76"/>
      <c r="S39" s="76"/>
      <c r="T39" s="121"/>
      <c r="U39" s="121"/>
      <c r="V39" s="121"/>
      <c r="W39" s="121"/>
    </row>
    <row r="40" spans="1:24" ht="15.75" customHeight="1">
      <c r="A40" s="207"/>
      <c r="B40" s="616"/>
      <c r="C40" s="163"/>
      <c r="D40" s="60"/>
      <c r="E40" s="62"/>
      <c r="F40" s="64"/>
      <c r="G40" s="194"/>
      <c r="H40" s="200"/>
      <c r="I40" s="74"/>
      <c r="J40" s="72"/>
      <c r="K40" s="74"/>
      <c r="L40" s="84"/>
      <c r="M40" s="70"/>
      <c r="N40" s="74"/>
      <c r="O40" s="112"/>
      <c r="P40" s="74"/>
      <c r="Q40" s="88"/>
      <c r="R40" s="156"/>
      <c r="S40" s="156"/>
      <c r="T40" s="121"/>
      <c r="U40" s="121"/>
      <c r="V40" s="121"/>
      <c r="W40" s="121"/>
    </row>
    <row r="41" spans="1:24" ht="13">
      <c r="A41" s="117"/>
      <c r="B41" s="615"/>
      <c r="C41" s="163"/>
      <c r="D41" s="60"/>
      <c r="E41" s="62"/>
      <c r="F41" s="64"/>
      <c r="G41" s="194"/>
      <c r="H41" s="176"/>
      <c r="I41" s="74"/>
      <c r="J41" s="72"/>
      <c r="K41" s="239"/>
      <c r="L41" s="84"/>
      <c r="M41" s="70"/>
      <c r="N41" s="74"/>
      <c r="O41" s="112"/>
      <c r="P41" s="74"/>
      <c r="Q41" s="88"/>
      <c r="R41" s="76"/>
      <c r="S41" s="76"/>
      <c r="T41" s="121"/>
      <c r="U41" s="121"/>
      <c r="V41" s="121"/>
      <c r="W41" s="121"/>
    </row>
    <row r="42" spans="1:24" ht="15.75" customHeight="1">
      <c r="A42" s="117"/>
      <c r="B42" s="615"/>
      <c r="C42" s="163"/>
      <c r="D42" s="60"/>
      <c r="E42" s="62"/>
      <c r="F42" s="64"/>
      <c r="G42" s="194"/>
      <c r="H42" s="195"/>
      <c r="I42" s="74"/>
      <c r="J42" s="72"/>
      <c r="K42" s="74"/>
      <c r="L42" s="84"/>
      <c r="M42" s="70"/>
      <c r="N42" s="74"/>
      <c r="O42" s="112"/>
      <c r="P42" s="74"/>
      <c r="Q42" s="88"/>
      <c r="R42" s="76"/>
      <c r="S42" s="76"/>
      <c r="T42" s="121"/>
      <c r="U42" s="121"/>
      <c r="V42" s="113"/>
      <c r="W42" s="121"/>
    </row>
    <row r="43" spans="1:24" ht="13">
      <c r="A43" s="207"/>
      <c r="B43" s="616"/>
      <c r="C43" s="163"/>
      <c r="D43" s="60"/>
      <c r="E43" s="62"/>
      <c r="F43" s="64"/>
      <c r="G43" s="194"/>
      <c r="H43" s="195"/>
      <c r="I43" s="74"/>
      <c r="J43" s="72"/>
      <c r="K43" s="74"/>
      <c r="L43" s="84"/>
      <c r="M43" s="70"/>
      <c r="N43" s="74"/>
      <c r="O43" s="112"/>
      <c r="P43" s="74"/>
      <c r="Q43" s="88"/>
      <c r="R43" s="76"/>
      <c r="S43" s="76"/>
      <c r="T43" s="121"/>
      <c r="U43" s="121"/>
      <c r="V43" s="113"/>
      <c r="W43" s="121"/>
    </row>
    <row r="44" spans="1:24" ht="13">
      <c r="A44" s="117"/>
      <c r="B44" s="615"/>
      <c r="C44" s="120"/>
      <c r="D44" s="21"/>
      <c r="E44" s="23"/>
      <c r="F44" s="25"/>
      <c r="G44" s="221"/>
      <c r="H44" s="237"/>
      <c r="I44" s="35"/>
      <c r="J44" s="33"/>
      <c r="K44" s="35"/>
      <c r="L44" s="37"/>
      <c r="M44" s="39"/>
      <c r="N44" s="35"/>
      <c r="O44" s="124"/>
      <c r="P44" s="35"/>
      <c r="Q44" s="42"/>
      <c r="R44" s="264"/>
      <c r="S44" s="264"/>
      <c r="T44" s="174"/>
      <c r="U44" s="174"/>
      <c r="V44" s="97"/>
      <c r="W44" s="174"/>
      <c r="X44" s="130"/>
    </row>
    <row r="45" spans="1:24" ht="13">
      <c r="A45" s="117"/>
      <c r="B45" s="615"/>
      <c r="C45" s="620"/>
      <c r="D45" s="50"/>
      <c r="E45" s="68"/>
      <c r="F45" s="265"/>
      <c r="G45" s="194"/>
      <c r="H45" s="195"/>
      <c r="I45" s="59"/>
      <c r="J45" s="57"/>
      <c r="K45" s="59"/>
      <c r="L45" s="71"/>
      <c r="M45" s="73"/>
      <c r="N45" s="59"/>
      <c r="O45" s="110"/>
      <c r="P45" s="59"/>
      <c r="Q45" s="83"/>
      <c r="R45" s="61"/>
      <c r="S45" s="61"/>
      <c r="T45" s="63"/>
      <c r="U45" s="63"/>
      <c r="V45" s="189"/>
      <c r="W45" s="63"/>
    </row>
    <row r="46" spans="1:24" ht="13">
      <c r="A46" s="207"/>
      <c r="B46" s="616"/>
      <c r="C46" s="163"/>
      <c r="D46" s="60"/>
      <c r="E46" s="62"/>
      <c r="F46" s="64"/>
      <c r="G46" s="194"/>
      <c r="H46" s="176"/>
      <c r="I46" s="74"/>
      <c r="J46" s="244"/>
      <c r="K46" s="74"/>
      <c r="L46" s="84"/>
      <c r="M46" s="70"/>
      <c r="N46" s="74"/>
      <c r="O46" s="112"/>
      <c r="P46" s="74"/>
      <c r="Q46" s="88"/>
      <c r="R46" s="76"/>
      <c r="S46" s="76"/>
      <c r="T46" s="121"/>
      <c r="U46" s="121"/>
      <c r="V46" s="113"/>
      <c r="W46" s="121"/>
    </row>
    <row r="47" spans="1:24" ht="13">
      <c r="A47" s="117"/>
      <c r="B47" s="615"/>
      <c r="C47" s="172"/>
      <c r="D47" s="21"/>
      <c r="E47" s="23"/>
      <c r="F47" s="25"/>
      <c r="G47" s="221"/>
      <c r="H47" s="193"/>
      <c r="I47" s="35"/>
      <c r="J47" s="33"/>
      <c r="K47" s="266"/>
      <c r="L47" s="37"/>
      <c r="M47" s="39"/>
      <c r="N47" s="35"/>
      <c r="O47" s="124"/>
      <c r="P47" s="35"/>
      <c r="Q47" s="42"/>
      <c r="R47" s="44"/>
      <c r="S47" s="44"/>
      <c r="T47" s="174"/>
      <c r="U47" s="174"/>
      <c r="V47" s="97"/>
      <c r="W47" s="174"/>
      <c r="X47" s="56"/>
    </row>
    <row r="48" spans="1:24" ht="13">
      <c r="A48" s="117"/>
      <c r="B48" s="615"/>
      <c r="C48" s="66"/>
      <c r="D48" s="50"/>
      <c r="E48" s="68"/>
      <c r="F48" s="52"/>
      <c r="G48" s="194"/>
      <c r="H48" s="176"/>
      <c r="I48" s="59"/>
      <c r="J48" s="57"/>
      <c r="K48" s="59"/>
      <c r="L48" s="71"/>
      <c r="M48" s="73"/>
      <c r="N48" s="59"/>
      <c r="O48" s="110"/>
      <c r="P48" s="59"/>
      <c r="Q48" s="83"/>
      <c r="R48" s="267"/>
      <c r="S48" s="267"/>
      <c r="T48" s="63"/>
      <c r="U48" s="63"/>
      <c r="V48" s="189"/>
      <c r="W48" s="63"/>
    </row>
    <row r="49" spans="1:24" ht="13">
      <c r="A49" s="117"/>
      <c r="B49" s="615"/>
      <c r="C49" s="120"/>
      <c r="D49" s="21"/>
      <c r="E49" s="23"/>
      <c r="F49" s="25"/>
      <c r="G49" s="221"/>
      <c r="H49" s="237"/>
      <c r="I49" s="35"/>
      <c r="J49" s="33"/>
      <c r="K49" s="268"/>
      <c r="L49" s="37"/>
      <c r="M49" s="39"/>
      <c r="N49" s="35"/>
      <c r="O49" s="124"/>
      <c r="P49" s="35"/>
      <c r="Q49" s="42"/>
      <c r="R49" s="44"/>
      <c r="S49" s="44"/>
      <c r="T49" s="174"/>
      <c r="U49" s="174"/>
      <c r="V49" s="97"/>
      <c r="W49" s="174"/>
      <c r="X49" s="56"/>
    </row>
    <row r="50" spans="1:24" ht="13">
      <c r="A50" s="207"/>
      <c r="B50" s="616"/>
      <c r="C50" s="620"/>
      <c r="D50" s="50"/>
      <c r="E50" s="68"/>
      <c r="F50" s="265"/>
      <c r="G50" s="194"/>
      <c r="H50" s="195"/>
      <c r="I50" s="59"/>
      <c r="J50" s="57"/>
      <c r="K50" s="59"/>
      <c r="L50" s="71"/>
      <c r="M50" s="73"/>
      <c r="N50" s="59"/>
      <c r="O50" s="110"/>
      <c r="P50" s="59"/>
      <c r="Q50" s="83"/>
      <c r="R50" s="61"/>
      <c r="S50" s="61"/>
      <c r="T50" s="63"/>
      <c r="U50" s="63"/>
      <c r="V50" s="189"/>
      <c r="W50" s="63"/>
    </row>
    <row r="51" spans="1:24" ht="13">
      <c r="A51" s="621"/>
      <c r="B51" s="622"/>
      <c r="C51" s="58"/>
      <c r="D51" s="60"/>
      <c r="E51" s="62"/>
      <c r="F51" s="64"/>
      <c r="G51" s="194"/>
      <c r="H51" s="195"/>
      <c r="I51" s="74"/>
      <c r="J51" s="72"/>
      <c r="K51" s="74"/>
      <c r="L51" s="84"/>
      <c r="M51" s="70"/>
      <c r="N51" s="74"/>
      <c r="O51" s="112"/>
      <c r="P51" s="74"/>
      <c r="Q51" s="88"/>
      <c r="R51" s="76"/>
      <c r="S51" s="76"/>
      <c r="T51" s="121"/>
      <c r="U51" s="121"/>
      <c r="V51" s="113"/>
      <c r="W51" s="121"/>
    </row>
    <row r="52" spans="1:24" ht="13">
      <c r="A52" s="117"/>
      <c r="B52" s="615"/>
      <c r="C52" s="58"/>
      <c r="D52" s="60"/>
      <c r="E52" s="62"/>
      <c r="F52" s="64"/>
      <c r="G52" s="194"/>
      <c r="H52" s="232"/>
      <c r="I52" s="74"/>
      <c r="J52" s="72"/>
      <c r="K52" s="74"/>
      <c r="L52" s="84"/>
      <c r="M52" s="70"/>
      <c r="N52" s="74"/>
      <c r="O52" s="112"/>
      <c r="P52" s="74"/>
      <c r="Q52" s="88"/>
      <c r="R52" s="76"/>
      <c r="S52" s="76"/>
      <c r="T52" s="121"/>
      <c r="U52" s="121"/>
      <c r="V52" s="121"/>
      <c r="W52" s="121"/>
    </row>
    <row r="53" spans="1:24" ht="13">
      <c r="A53" s="207"/>
      <c r="B53" s="616"/>
      <c r="C53" s="58"/>
      <c r="D53" s="60"/>
      <c r="E53" s="62"/>
      <c r="F53" s="64"/>
      <c r="G53" s="194"/>
      <c r="H53" s="195"/>
      <c r="I53" s="74"/>
      <c r="J53" s="72"/>
      <c r="K53" s="74"/>
      <c r="L53" s="84"/>
      <c r="M53" s="70"/>
      <c r="N53" s="74"/>
      <c r="O53" s="112"/>
      <c r="P53" s="74"/>
      <c r="Q53" s="88"/>
      <c r="R53" s="76"/>
      <c r="S53" s="76"/>
      <c r="T53" s="121"/>
      <c r="U53" s="121"/>
      <c r="V53" s="113"/>
      <c r="W53" s="121"/>
    </row>
    <row r="54" spans="1:24" ht="13">
      <c r="A54" s="207"/>
      <c r="B54" s="616"/>
      <c r="C54" s="163"/>
      <c r="D54" s="60"/>
      <c r="E54" s="62"/>
      <c r="F54" s="64"/>
      <c r="G54" s="194"/>
      <c r="H54" s="195"/>
      <c r="I54" s="74"/>
      <c r="J54" s="72"/>
      <c r="K54" s="74"/>
      <c r="L54" s="84"/>
      <c r="M54" s="70"/>
      <c r="N54" s="74"/>
      <c r="O54" s="112"/>
      <c r="P54" s="74"/>
      <c r="Q54" s="88"/>
      <c r="R54" s="156"/>
      <c r="S54" s="156"/>
      <c r="T54" s="121"/>
      <c r="U54" s="121"/>
      <c r="V54" s="121"/>
      <c r="W54" s="121"/>
    </row>
    <row r="55" spans="1:24" ht="13">
      <c r="A55" s="207"/>
      <c r="B55" s="616"/>
      <c r="C55" s="163"/>
      <c r="D55" s="60"/>
      <c r="E55" s="62"/>
      <c r="F55" s="64"/>
      <c r="G55" s="199"/>
      <c r="H55" s="232"/>
      <c r="I55" s="74"/>
      <c r="J55" s="72"/>
      <c r="K55" s="74"/>
      <c r="L55" s="84"/>
      <c r="M55" s="70"/>
      <c r="N55" s="74"/>
      <c r="O55" s="112"/>
      <c r="P55" s="74"/>
      <c r="Q55" s="88"/>
      <c r="R55" s="76"/>
      <c r="S55" s="76"/>
      <c r="T55" s="121"/>
      <c r="U55" s="121"/>
      <c r="V55" s="121"/>
      <c r="W55" s="121"/>
    </row>
    <row r="56" spans="1:24" ht="13">
      <c r="A56" s="117"/>
      <c r="B56" s="615"/>
      <c r="C56" s="163"/>
      <c r="D56" s="60"/>
      <c r="E56" s="62"/>
      <c r="F56" s="64"/>
      <c r="G56" s="194"/>
      <c r="H56" s="195"/>
      <c r="I56" s="74"/>
      <c r="J56" s="72"/>
      <c r="K56" s="74"/>
      <c r="L56" s="84"/>
      <c r="M56" s="70"/>
      <c r="N56" s="74"/>
      <c r="O56" s="112"/>
      <c r="P56" s="74"/>
      <c r="Q56" s="88"/>
      <c r="R56" s="76"/>
      <c r="S56" s="76"/>
      <c r="T56" s="121"/>
      <c r="U56" s="121"/>
      <c r="V56" s="121"/>
      <c r="W56" s="121"/>
    </row>
    <row r="57" spans="1:24" ht="13">
      <c r="A57" s="117"/>
      <c r="B57" s="615"/>
      <c r="C57" s="172"/>
      <c r="D57" s="21"/>
      <c r="E57" s="23"/>
      <c r="F57" s="25"/>
      <c r="G57" s="221"/>
      <c r="H57" s="237"/>
      <c r="I57" s="35"/>
      <c r="J57" s="33"/>
      <c r="K57" s="270"/>
      <c r="L57" s="37"/>
      <c r="M57" s="39"/>
      <c r="N57" s="35"/>
      <c r="O57" s="124"/>
      <c r="P57" s="35"/>
      <c r="Q57" s="42"/>
      <c r="R57" s="271"/>
      <c r="S57" s="271"/>
      <c r="T57" s="174"/>
      <c r="U57" s="174"/>
      <c r="V57" s="174"/>
      <c r="W57" s="174"/>
      <c r="X57" s="130"/>
    </row>
    <row r="58" spans="1:24" ht="13">
      <c r="A58" s="117"/>
      <c r="B58" s="615"/>
      <c r="C58" s="618"/>
      <c r="D58" s="133"/>
      <c r="E58" s="135"/>
      <c r="F58" s="137"/>
      <c r="G58" s="221"/>
      <c r="H58" s="237"/>
      <c r="I58" s="146"/>
      <c r="J58" s="145"/>
      <c r="K58" s="146"/>
      <c r="L58" s="147"/>
      <c r="M58" s="143"/>
      <c r="N58" s="146"/>
      <c r="O58" s="272"/>
      <c r="P58" s="146"/>
      <c r="Q58" s="150"/>
      <c r="R58" s="151"/>
      <c r="S58" s="151"/>
      <c r="T58" s="619"/>
      <c r="U58" s="619"/>
      <c r="V58" s="273"/>
      <c r="W58" s="619"/>
      <c r="X58" s="130"/>
    </row>
    <row r="59" spans="1:24" ht="13">
      <c r="A59" s="117"/>
      <c r="B59" s="615"/>
      <c r="C59" s="618"/>
      <c r="D59" s="133"/>
      <c r="E59" s="135"/>
      <c r="F59" s="137"/>
      <c r="G59" s="221"/>
      <c r="H59" s="237"/>
      <c r="I59" s="146"/>
      <c r="J59" s="145"/>
      <c r="K59" s="274"/>
      <c r="L59" s="147"/>
      <c r="M59" s="143"/>
      <c r="N59" s="146"/>
      <c r="O59" s="272"/>
      <c r="P59" s="146"/>
      <c r="Q59" s="275"/>
      <c r="R59" s="151"/>
      <c r="S59" s="151"/>
      <c r="T59" s="619"/>
      <c r="U59" s="619"/>
      <c r="V59" s="273"/>
      <c r="W59" s="619"/>
      <c r="X59" s="130"/>
    </row>
    <row r="60" spans="1:24" ht="13">
      <c r="A60" s="117"/>
      <c r="B60" s="615"/>
      <c r="C60" s="66"/>
      <c r="D60" s="50"/>
      <c r="E60" s="68"/>
      <c r="F60" s="52"/>
      <c r="G60" s="194"/>
      <c r="H60" s="232"/>
      <c r="I60" s="59"/>
      <c r="J60" s="57"/>
      <c r="K60" s="276"/>
      <c r="L60" s="71"/>
      <c r="M60" s="73"/>
      <c r="N60" s="59"/>
      <c r="O60" s="110"/>
      <c r="P60" s="59"/>
      <c r="Q60" s="83"/>
      <c r="R60" s="277"/>
      <c r="S60" s="277"/>
      <c r="T60" s="63"/>
      <c r="U60" s="63"/>
      <c r="V60" s="189"/>
      <c r="W60" s="63"/>
    </row>
    <row r="61" spans="1:24" ht="13">
      <c r="A61" s="207"/>
      <c r="B61" s="616"/>
      <c r="C61" s="58"/>
      <c r="D61" s="60"/>
      <c r="E61" s="62"/>
      <c r="F61" s="64"/>
      <c r="G61" s="194"/>
      <c r="H61" s="195"/>
      <c r="I61" s="74"/>
      <c r="J61" s="72"/>
      <c r="K61" s="239"/>
      <c r="L61" s="84"/>
      <c r="M61" s="134"/>
      <c r="N61" s="74"/>
      <c r="O61" s="115"/>
      <c r="P61" s="74"/>
      <c r="Q61" s="88"/>
      <c r="R61" s="76"/>
      <c r="S61" s="76"/>
      <c r="T61" s="121"/>
      <c r="U61" s="121"/>
      <c r="V61" s="113"/>
      <c r="W61" s="121"/>
    </row>
    <row r="62" spans="1:24" ht="13">
      <c r="A62" s="207"/>
      <c r="B62" s="616"/>
      <c r="C62" s="58"/>
      <c r="D62" s="60"/>
      <c r="E62" s="62"/>
      <c r="F62" s="64"/>
      <c r="G62" s="194"/>
      <c r="H62" s="195"/>
      <c r="I62" s="74"/>
      <c r="J62" s="72"/>
      <c r="K62" s="201"/>
      <c r="L62" s="84"/>
      <c r="M62" s="134"/>
      <c r="N62" s="74"/>
      <c r="O62" s="115"/>
      <c r="P62" s="74"/>
      <c r="Q62" s="88"/>
      <c r="R62" s="76"/>
      <c r="S62" s="76"/>
      <c r="T62" s="121"/>
      <c r="U62" s="121"/>
      <c r="V62" s="113"/>
      <c r="W62" s="121"/>
    </row>
    <row r="63" spans="1:24" ht="13">
      <c r="A63" s="207"/>
      <c r="B63" s="616"/>
      <c r="C63" s="172"/>
      <c r="D63" s="21"/>
      <c r="E63" s="23"/>
      <c r="F63" s="25"/>
      <c r="G63" s="221"/>
      <c r="H63" s="237"/>
      <c r="I63" s="35"/>
      <c r="J63" s="33"/>
      <c r="K63" s="35"/>
      <c r="L63" s="37"/>
      <c r="M63" s="238"/>
      <c r="N63" s="35"/>
      <c r="O63" s="280"/>
      <c r="P63" s="35"/>
      <c r="Q63" s="42"/>
      <c r="R63" s="44"/>
      <c r="S63" s="44"/>
      <c r="T63" s="174"/>
      <c r="U63" s="174"/>
      <c r="V63" s="174"/>
      <c r="W63" s="174"/>
      <c r="X63" s="130"/>
    </row>
    <row r="64" spans="1:24" ht="13">
      <c r="A64" s="117"/>
      <c r="B64" s="615"/>
      <c r="C64" s="620"/>
      <c r="D64" s="50"/>
      <c r="E64" s="68"/>
      <c r="F64" s="52"/>
      <c r="G64" s="194"/>
      <c r="H64" s="195"/>
      <c r="I64" s="59"/>
      <c r="J64" s="57"/>
      <c r="K64" s="59"/>
      <c r="L64" s="71"/>
      <c r="M64" s="73"/>
      <c r="N64" s="59"/>
      <c r="O64" s="110"/>
      <c r="P64" s="59"/>
      <c r="Q64" s="83"/>
      <c r="R64" s="61"/>
      <c r="S64" s="61"/>
      <c r="T64" s="63"/>
      <c r="U64" s="63"/>
      <c r="V64" s="189"/>
      <c r="W64" s="63"/>
    </row>
    <row r="65" spans="1:24" ht="13">
      <c r="A65" s="117"/>
      <c r="B65" s="615"/>
      <c r="C65" s="58"/>
      <c r="D65" s="60"/>
      <c r="E65" s="62"/>
      <c r="F65" s="64"/>
      <c r="G65" s="194"/>
      <c r="H65" s="195"/>
      <c r="I65" s="74"/>
      <c r="J65" s="269"/>
      <c r="K65" s="74"/>
      <c r="L65" s="84"/>
      <c r="M65" s="70"/>
      <c r="N65" s="74"/>
      <c r="O65" s="112"/>
      <c r="P65" s="74"/>
      <c r="Q65" s="88"/>
      <c r="R65" s="76"/>
      <c r="S65" s="76"/>
      <c r="T65" s="121"/>
      <c r="U65" s="121"/>
      <c r="V65" s="121"/>
      <c r="W65" s="121"/>
    </row>
    <row r="66" spans="1:24" ht="13">
      <c r="A66" s="207"/>
      <c r="B66" s="616"/>
      <c r="C66" s="58"/>
      <c r="D66" s="60"/>
      <c r="E66" s="62"/>
      <c r="F66" s="64"/>
      <c r="G66" s="194"/>
      <c r="H66" s="195"/>
      <c r="I66" s="74"/>
      <c r="J66" s="72"/>
      <c r="K66" s="74"/>
      <c r="L66" s="84"/>
      <c r="M66" s="70"/>
      <c r="N66" s="74"/>
      <c r="O66" s="112"/>
      <c r="P66" s="74"/>
      <c r="Q66" s="88"/>
      <c r="R66" s="156"/>
      <c r="S66" s="76"/>
      <c r="T66" s="121"/>
      <c r="U66" s="121"/>
      <c r="V66" s="113"/>
      <c r="W66" s="121"/>
    </row>
    <row r="67" spans="1:24" ht="13">
      <c r="A67" s="207"/>
      <c r="B67" s="616"/>
      <c r="C67" s="163"/>
      <c r="D67" s="60"/>
      <c r="E67" s="62"/>
      <c r="F67" s="64"/>
      <c r="G67" s="194"/>
      <c r="H67" s="195"/>
      <c r="I67" s="74"/>
      <c r="J67" s="72"/>
      <c r="K67" s="74"/>
      <c r="L67" s="84"/>
      <c r="M67" s="70"/>
      <c r="N67" s="74"/>
      <c r="O67" s="112"/>
      <c r="P67" s="74"/>
      <c r="Q67" s="88"/>
      <c r="R67" s="156"/>
      <c r="S67" s="156"/>
      <c r="T67" s="121"/>
      <c r="U67" s="121"/>
      <c r="V67" s="113"/>
      <c r="W67" s="121"/>
    </row>
    <row r="68" spans="1:24" ht="13">
      <c r="A68" s="117"/>
      <c r="B68" s="615"/>
      <c r="C68" s="163"/>
      <c r="D68" s="60"/>
      <c r="E68" s="62"/>
      <c r="F68" s="64"/>
      <c r="G68" s="194"/>
      <c r="H68" s="195"/>
      <c r="I68" s="74"/>
      <c r="J68" s="72"/>
      <c r="K68" s="74"/>
      <c r="L68" s="84"/>
      <c r="M68" s="134"/>
      <c r="N68" s="74"/>
      <c r="O68" s="112"/>
      <c r="P68" s="74"/>
      <c r="Q68" s="88"/>
      <c r="R68" s="76"/>
      <c r="S68" s="76"/>
      <c r="T68" s="121"/>
      <c r="U68" s="121"/>
      <c r="V68" s="113"/>
      <c r="W68" s="121"/>
    </row>
    <row r="69" spans="1:24" ht="13">
      <c r="A69" s="117"/>
      <c r="B69" s="615"/>
      <c r="C69" s="58"/>
      <c r="D69" s="60"/>
      <c r="E69" s="62"/>
      <c r="F69" s="64"/>
      <c r="G69" s="194"/>
      <c r="H69" s="195"/>
      <c r="I69" s="74"/>
      <c r="J69" s="72"/>
      <c r="K69" s="74"/>
      <c r="L69" s="84"/>
      <c r="M69" s="70"/>
      <c r="N69" s="74"/>
      <c r="O69" s="112"/>
      <c r="P69" s="74"/>
      <c r="Q69" s="292"/>
      <c r="R69" s="76"/>
      <c r="S69" s="76"/>
      <c r="T69" s="121"/>
      <c r="U69" s="121"/>
      <c r="V69" s="113"/>
      <c r="W69" s="121"/>
    </row>
    <row r="70" spans="1:24" ht="13">
      <c r="A70" s="207"/>
      <c r="B70" s="616"/>
      <c r="C70" s="163"/>
      <c r="D70" s="60"/>
      <c r="E70" s="62"/>
      <c r="F70" s="64"/>
      <c r="G70" s="194"/>
      <c r="H70" s="195"/>
      <c r="I70" s="74"/>
      <c r="J70" s="72"/>
      <c r="K70" s="74"/>
      <c r="L70" s="84"/>
      <c r="M70" s="70"/>
      <c r="N70" s="74"/>
      <c r="O70" s="112"/>
      <c r="P70" s="74"/>
      <c r="Q70" s="88"/>
      <c r="R70" s="76"/>
      <c r="S70" s="76"/>
      <c r="T70" s="121"/>
      <c r="U70" s="121"/>
      <c r="V70" s="113"/>
      <c r="W70" s="121"/>
    </row>
    <row r="71" spans="1:24" ht="13">
      <c r="A71" s="207"/>
      <c r="B71" s="616"/>
      <c r="C71" s="172"/>
      <c r="D71" s="21"/>
      <c r="E71" s="23"/>
      <c r="F71" s="25"/>
      <c r="G71" s="221"/>
      <c r="H71" s="237"/>
      <c r="I71" s="35"/>
      <c r="J71" s="33"/>
      <c r="K71" s="35"/>
      <c r="L71" s="37"/>
      <c r="M71" s="39"/>
      <c r="N71" s="35"/>
      <c r="O71" s="124"/>
      <c r="P71" s="35"/>
      <c r="Q71" s="42"/>
      <c r="R71" s="44"/>
      <c r="S71" s="44"/>
      <c r="T71" s="174"/>
      <c r="U71" s="174"/>
      <c r="V71" s="97"/>
      <c r="W71" s="174"/>
      <c r="X71" s="130"/>
    </row>
    <row r="72" spans="1:24" ht="13">
      <c r="A72" s="117"/>
      <c r="B72" s="615"/>
      <c r="C72" s="618"/>
      <c r="D72" s="133"/>
      <c r="E72" s="135"/>
      <c r="F72" s="137"/>
      <c r="G72" s="221"/>
      <c r="H72" s="237"/>
      <c r="I72" s="146"/>
      <c r="J72" s="145"/>
      <c r="K72" s="293"/>
      <c r="L72" s="147"/>
      <c r="M72" s="294"/>
      <c r="N72" s="146"/>
      <c r="O72" s="272"/>
      <c r="P72" s="146"/>
      <c r="Q72" s="150"/>
      <c r="R72" s="151"/>
      <c r="S72" s="151"/>
      <c r="T72" s="619"/>
      <c r="U72" s="619"/>
      <c r="V72" s="619"/>
      <c r="W72" s="619"/>
      <c r="X72" s="130"/>
    </row>
    <row r="73" spans="1:24" ht="13">
      <c r="A73" s="117"/>
      <c r="B73" s="615"/>
      <c r="C73" s="620"/>
      <c r="D73" s="50"/>
      <c r="E73" s="68"/>
      <c r="F73" s="52"/>
      <c r="G73" s="194"/>
      <c r="H73" s="195"/>
      <c r="I73" s="59"/>
      <c r="J73" s="57"/>
      <c r="K73" s="295"/>
      <c r="L73" s="71"/>
      <c r="M73" s="158"/>
      <c r="N73" s="59"/>
      <c r="O73" s="110"/>
      <c r="P73" s="59"/>
      <c r="Q73" s="83"/>
      <c r="R73" s="61"/>
      <c r="S73" s="61"/>
      <c r="T73" s="63"/>
      <c r="U73" s="63"/>
      <c r="V73" s="189"/>
      <c r="W73" s="63"/>
    </row>
    <row r="74" spans="1:24" ht="13">
      <c r="A74" s="117"/>
      <c r="B74" s="615"/>
      <c r="C74" s="163"/>
      <c r="D74" s="60"/>
      <c r="E74" s="62"/>
      <c r="F74" s="64"/>
      <c r="G74" s="194"/>
      <c r="H74" s="176"/>
      <c r="I74" s="74"/>
      <c r="J74" s="72"/>
      <c r="K74" s="263"/>
      <c r="L74" s="84"/>
      <c r="M74" s="70"/>
      <c r="N74" s="74"/>
      <c r="O74" s="112"/>
      <c r="P74" s="74"/>
      <c r="Q74" s="88"/>
      <c r="R74" s="184"/>
      <c r="S74" s="184"/>
      <c r="T74" s="121"/>
      <c r="U74" s="121"/>
      <c r="V74" s="121"/>
      <c r="W74" s="121"/>
    </row>
    <row r="75" spans="1:24" ht="13">
      <c r="A75" s="117"/>
      <c r="B75" s="615"/>
      <c r="C75" s="120"/>
      <c r="D75" s="21"/>
      <c r="E75" s="23"/>
      <c r="F75" s="25"/>
      <c r="G75" s="221"/>
      <c r="H75" s="193"/>
      <c r="I75" s="35"/>
      <c r="J75" s="33"/>
      <c r="K75" s="266"/>
      <c r="L75" s="37"/>
      <c r="M75" s="238"/>
      <c r="N75" s="35"/>
      <c r="O75" s="280"/>
      <c r="P75" s="35"/>
      <c r="Q75" s="42"/>
      <c r="R75" s="44"/>
      <c r="S75" s="44"/>
      <c r="T75" s="174"/>
      <c r="U75" s="174"/>
      <c r="V75" s="97"/>
      <c r="W75" s="174"/>
      <c r="X75" s="130"/>
    </row>
    <row r="76" spans="1:24" ht="15.75" customHeight="1">
      <c r="A76" s="207"/>
      <c r="B76" s="616"/>
      <c r="C76" s="296"/>
      <c r="D76" s="133"/>
      <c r="E76" s="135"/>
      <c r="F76" s="137"/>
      <c r="G76" s="221"/>
      <c r="H76" s="297"/>
      <c r="I76" s="146"/>
      <c r="J76" s="298"/>
      <c r="K76" s="146"/>
      <c r="L76" s="147"/>
      <c r="M76" s="143"/>
      <c r="N76" s="146"/>
      <c r="O76" s="272"/>
      <c r="P76" s="146"/>
      <c r="Q76" s="150"/>
      <c r="R76" s="151"/>
      <c r="S76" s="151"/>
      <c r="T76" s="619"/>
      <c r="U76" s="619"/>
      <c r="V76" s="619"/>
      <c r="W76" s="619"/>
      <c r="X76" s="56"/>
    </row>
    <row r="77" spans="1:24" ht="15.75" customHeight="1">
      <c r="A77" s="207"/>
      <c r="B77" s="616"/>
      <c r="C77" s="618"/>
      <c r="D77" s="133"/>
      <c r="E77" s="135"/>
      <c r="F77" s="137"/>
      <c r="G77" s="221"/>
      <c r="H77" s="237"/>
      <c r="I77" s="146"/>
      <c r="J77" s="145"/>
      <c r="K77" s="293"/>
      <c r="L77" s="147"/>
      <c r="M77" s="143"/>
      <c r="N77" s="146"/>
      <c r="O77" s="272"/>
      <c r="P77" s="146"/>
      <c r="Q77" s="150"/>
      <c r="R77" s="151"/>
      <c r="S77" s="151"/>
      <c r="T77" s="619"/>
      <c r="U77" s="619"/>
      <c r="V77" s="273"/>
      <c r="W77" s="619"/>
      <c r="X77" s="130"/>
    </row>
    <row r="78" spans="1:24" ht="13">
      <c r="A78" s="117"/>
      <c r="B78" s="615"/>
      <c r="C78" s="620"/>
      <c r="D78" s="50"/>
      <c r="E78" s="68"/>
      <c r="F78" s="52"/>
      <c r="G78" s="194"/>
      <c r="H78" s="195"/>
      <c r="I78" s="59"/>
      <c r="J78" s="243"/>
      <c r="K78" s="295"/>
      <c r="L78" s="71"/>
      <c r="M78" s="73"/>
      <c r="N78" s="59"/>
      <c r="O78" s="110"/>
      <c r="P78" s="59"/>
      <c r="Q78" s="83"/>
      <c r="R78" s="61"/>
      <c r="S78" s="61"/>
      <c r="T78" s="63"/>
      <c r="U78" s="63"/>
      <c r="V78" s="63"/>
      <c r="W78" s="63"/>
    </row>
    <row r="79" spans="1:24" ht="13">
      <c r="A79" s="117"/>
      <c r="B79" s="615"/>
      <c r="C79" s="58"/>
      <c r="D79" s="60"/>
      <c r="E79" s="62"/>
      <c r="F79" s="64"/>
      <c r="G79" s="194"/>
      <c r="H79" s="232"/>
      <c r="I79" s="74"/>
      <c r="J79" s="236"/>
      <c r="K79" s="74"/>
      <c r="L79" s="84"/>
      <c r="M79" s="70"/>
      <c r="N79" s="74"/>
      <c r="O79" s="112"/>
      <c r="P79" s="74"/>
      <c r="Q79" s="88"/>
      <c r="R79" s="184"/>
      <c r="S79" s="184"/>
      <c r="T79" s="121"/>
      <c r="U79" s="121"/>
      <c r="V79" s="113"/>
      <c r="W79" s="121"/>
    </row>
    <row r="80" spans="1:24" ht="13">
      <c r="A80" s="207"/>
      <c r="B80" s="616"/>
      <c r="C80" s="172"/>
      <c r="D80" s="21"/>
      <c r="E80" s="23"/>
      <c r="F80" s="25"/>
      <c r="G80" s="221"/>
      <c r="H80" s="237"/>
      <c r="I80" s="35"/>
      <c r="J80" s="33"/>
      <c r="K80" s="35"/>
      <c r="L80" s="37"/>
      <c r="M80" s="238"/>
      <c r="N80" s="35"/>
      <c r="O80" s="124"/>
      <c r="P80" s="35"/>
      <c r="Q80" s="42"/>
      <c r="R80" s="44"/>
      <c r="S80" s="44"/>
      <c r="T80" s="174"/>
      <c r="U80" s="174"/>
      <c r="V80" s="97"/>
      <c r="W80" s="174"/>
      <c r="X80" s="130"/>
    </row>
    <row r="81" spans="1:24" ht="13">
      <c r="A81" s="117"/>
      <c r="B81" s="615"/>
      <c r="C81" s="296"/>
      <c r="D81" s="133"/>
      <c r="E81" s="135"/>
      <c r="F81" s="137"/>
      <c r="G81" s="221"/>
      <c r="H81" s="237"/>
      <c r="I81" s="146"/>
      <c r="J81" s="299"/>
      <c r="K81" s="146"/>
      <c r="L81" s="147"/>
      <c r="M81" s="294"/>
      <c r="N81" s="146"/>
      <c r="O81" s="300"/>
      <c r="P81" s="146"/>
      <c r="Q81" s="150"/>
      <c r="R81" s="151"/>
      <c r="S81" s="151"/>
      <c r="T81" s="273"/>
      <c r="U81" s="619"/>
      <c r="V81" s="273"/>
      <c r="W81" s="619"/>
      <c r="X81" s="130"/>
    </row>
    <row r="82" spans="1:24" ht="13">
      <c r="A82" s="207"/>
      <c r="B82" s="616"/>
      <c r="C82" s="296"/>
      <c r="D82" s="133"/>
      <c r="E82" s="135"/>
      <c r="F82" s="137"/>
      <c r="G82" s="221"/>
      <c r="H82" s="237"/>
      <c r="I82" s="146"/>
      <c r="J82" s="145"/>
      <c r="K82" s="146"/>
      <c r="L82" s="147"/>
      <c r="M82" s="294"/>
      <c r="N82" s="146"/>
      <c r="O82" s="300"/>
      <c r="P82" s="146"/>
      <c r="Q82" s="150"/>
      <c r="R82" s="151"/>
      <c r="S82" s="151"/>
      <c r="T82" s="273"/>
      <c r="U82" s="619"/>
      <c r="V82" s="273"/>
      <c r="W82" s="619"/>
      <c r="X82" s="130"/>
    </row>
    <row r="83" spans="1:24" ht="13">
      <c r="A83" s="207"/>
      <c r="B83" s="616"/>
      <c r="C83" s="301"/>
      <c r="D83" s="302"/>
      <c r="E83" s="303"/>
      <c r="F83" s="305"/>
      <c r="G83" s="194"/>
      <c r="H83" s="195"/>
      <c r="I83" s="306"/>
      <c r="J83" s="307"/>
      <c r="K83" s="306"/>
      <c r="L83" s="308"/>
      <c r="M83" s="158"/>
      <c r="N83" s="306"/>
      <c r="O83" s="309"/>
      <c r="P83" s="306"/>
      <c r="Q83" s="310"/>
      <c r="R83" s="311"/>
      <c r="S83" s="311"/>
      <c r="T83" s="189"/>
      <c r="U83" s="63"/>
      <c r="V83" s="189"/>
      <c r="W83" s="63"/>
    </row>
    <row r="84" spans="1:24" ht="13" hidden="1">
      <c r="A84" s="207"/>
      <c r="B84" s="616"/>
      <c r="C84" s="207"/>
      <c r="D84" s="208"/>
      <c r="E84" s="209"/>
      <c r="F84" s="210"/>
      <c r="G84" s="194"/>
      <c r="H84" s="195"/>
      <c r="J84" s="212"/>
      <c r="L84" s="215"/>
      <c r="Q84" s="290"/>
      <c r="R84" s="213"/>
      <c r="S84" s="213"/>
      <c r="T84" s="214"/>
      <c r="U84" s="214"/>
      <c r="V84" s="214"/>
      <c r="W84" s="214"/>
    </row>
    <row r="85" spans="1:24" ht="13" hidden="1">
      <c r="A85" s="207"/>
      <c r="B85" s="207"/>
      <c r="C85" s="207"/>
      <c r="D85" s="208"/>
      <c r="E85" s="209"/>
      <c r="F85" s="210"/>
      <c r="G85" s="194"/>
      <c r="H85" s="195"/>
      <c r="J85" s="212"/>
      <c r="L85" s="215"/>
      <c r="Q85" s="290"/>
      <c r="R85" s="213"/>
      <c r="S85" s="213"/>
      <c r="T85" s="214"/>
      <c r="U85" s="214"/>
      <c r="V85" s="214"/>
      <c r="W85" s="214"/>
    </row>
    <row r="86" spans="1:24" ht="13" hidden="1">
      <c r="A86" s="207"/>
      <c r="B86" s="207"/>
      <c r="C86" s="207"/>
      <c r="D86" s="208"/>
      <c r="E86" s="209"/>
      <c r="F86" s="210"/>
      <c r="G86" s="194"/>
      <c r="H86" s="195"/>
      <c r="J86" s="212"/>
      <c r="L86" s="215"/>
      <c r="Q86" s="290"/>
      <c r="R86" s="213"/>
      <c r="S86" s="213"/>
      <c r="T86" s="214"/>
      <c r="U86" s="214"/>
      <c r="V86" s="214"/>
      <c r="W86" s="214"/>
    </row>
    <row r="87" spans="1:24" ht="13" hidden="1">
      <c r="A87" s="207"/>
      <c r="B87" s="207"/>
      <c r="C87" s="207"/>
      <c r="D87" s="208"/>
      <c r="E87" s="209"/>
      <c r="F87" s="210"/>
      <c r="G87" s="194"/>
      <c r="H87" s="195"/>
      <c r="J87" s="212"/>
      <c r="L87" s="215"/>
      <c r="Q87" s="290"/>
      <c r="R87" s="213"/>
      <c r="S87" s="213"/>
      <c r="T87" s="214"/>
      <c r="U87" s="214"/>
      <c r="V87" s="214"/>
      <c r="W87" s="214"/>
    </row>
    <row r="88" spans="1:24" ht="13" hidden="1">
      <c r="A88" s="207"/>
      <c r="B88" s="207"/>
      <c r="C88" s="207"/>
      <c r="D88" s="208"/>
      <c r="E88" s="209"/>
      <c r="F88" s="210"/>
      <c r="G88" s="194"/>
      <c r="H88" s="176"/>
      <c r="J88" s="212"/>
      <c r="L88" s="215"/>
      <c r="Q88" s="290"/>
      <c r="R88" s="213"/>
      <c r="S88" s="213"/>
      <c r="T88" s="214"/>
      <c r="U88" s="214"/>
      <c r="V88" s="214"/>
      <c r="W88" s="214"/>
    </row>
    <row r="89" spans="1:24" ht="13" hidden="1">
      <c r="A89" s="207"/>
      <c r="B89" s="207"/>
      <c r="C89" s="207"/>
      <c r="D89" s="208"/>
      <c r="E89" s="209"/>
      <c r="F89" s="210"/>
      <c r="G89" s="194"/>
      <c r="H89" s="195"/>
      <c r="J89" s="212"/>
      <c r="L89" s="215"/>
      <c r="Q89" s="290"/>
      <c r="R89" s="213"/>
      <c r="S89" s="213"/>
      <c r="T89" s="214"/>
      <c r="U89" s="214"/>
      <c r="V89" s="214"/>
      <c r="W89" s="214"/>
    </row>
    <row r="90" spans="1:24" ht="13" hidden="1">
      <c r="A90" s="207"/>
      <c r="B90" s="207"/>
      <c r="C90" s="207"/>
      <c r="D90" s="208"/>
      <c r="E90" s="209"/>
      <c r="F90" s="210"/>
      <c r="G90" s="194"/>
      <c r="H90" s="195"/>
      <c r="J90" s="212"/>
      <c r="L90" s="215"/>
      <c r="Q90" s="290"/>
      <c r="R90" s="213"/>
      <c r="S90" s="213"/>
      <c r="T90" s="214"/>
      <c r="U90" s="214"/>
      <c r="V90" s="214"/>
      <c r="W90" s="214"/>
    </row>
    <row r="91" spans="1:24" ht="13" hidden="1">
      <c r="A91" s="207"/>
      <c r="B91" s="207"/>
      <c r="C91" s="207"/>
      <c r="D91" s="208"/>
      <c r="E91" s="209"/>
      <c r="F91" s="210"/>
      <c r="G91" s="194"/>
      <c r="H91" s="195"/>
      <c r="J91" s="212"/>
      <c r="L91" s="215"/>
      <c r="Q91" s="290"/>
      <c r="R91" s="213"/>
      <c r="S91" s="213"/>
      <c r="T91" s="214"/>
      <c r="U91" s="214"/>
      <c r="V91" s="214"/>
      <c r="W91" s="214"/>
    </row>
    <row r="92" spans="1:24" ht="13" hidden="1">
      <c r="A92" s="207"/>
      <c r="B92" s="207"/>
      <c r="C92" s="207"/>
      <c r="D92" s="208"/>
      <c r="E92" s="209"/>
      <c r="F92" s="210"/>
      <c r="G92" s="194"/>
      <c r="H92" s="195"/>
      <c r="J92" s="212"/>
      <c r="L92" s="215"/>
      <c r="Q92" s="290"/>
      <c r="R92" s="213"/>
      <c r="S92" s="213"/>
      <c r="T92" s="214"/>
      <c r="U92" s="214"/>
      <c r="V92" s="214"/>
      <c r="W92" s="214"/>
    </row>
    <row r="93" spans="1:24" ht="13" hidden="1">
      <c r="A93" s="207"/>
      <c r="B93" s="207"/>
      <c r="C93" s="207"/>
      <c r="D93" s="208"/>
      <c r="E93" s="209"/>
      <c r="F93" s="210"/>
      <c r="G93" s="194"/>
      <c r="H93" s="195"/>
      <c r="J93" s="212"/>
      <c r="L93" s="215"/>
      <c r="Q93" s="290"/>
      <c r="R93" s="213"/>
      <c r="S93" s="213"/>
      <c r="T93" s="214"/>
      <c r="U93" s="214"/>
      <c r="V93" s="214"/>
      <c r="W93" s="214"/>
    </row>
    <row r="94" spans="1:24" ht="13" hidden="1">
      <c r="A94" s="207"/>
      <c r="B94" s="207"/>
      <c r="C94" s="207"/>
      <c r="D94" s="208"/>
      <c r="E94" s="209"/>
      <c r="F94" s="210"/>
      <c r="G94" s="194"/>
      <c r="H94" s="176"/>
      <c r="J94" s="212"/>
      <c r="L94" s="215"/>
      <c r="Q94" s="290"/>
      <c r="R94" s="213"/>
      <c r="S94" s="213"/>
      <c r="T94" s="214"/>
      <c r="U94" s="214"/>
      <c r="V94" s="214"/>
      <c r="W94" s="214"/>
    </row>
    <row r="95" spans="1:24" ht="13" hidden="1">
      <c r="A95" s="207"/>
      <c r="B95" s="207"/>
      <c r="C95" s="207"/>
      <c r="D95" s="208"/>
      <c r="E95" s="209"/>
      <c r="F95" s="210"/>
      <c r="G95" s="194"/>
      <c r="H95" s="195"/>
      <c r="J95" s="212"/>
      <c r="L95" s="215"/>
      <c r="Q95" s="290"/>
      <c r="R95" s="213"/>
      <c r="S95" s="213"/>
      <c r="T95" s="214"/>
      <c r="U95" s="214"/>
      <c r="V95" s="214"/>
      <c r="W95" s="214"/>
    </row>
    <row r="96" spans="1:24" ht="13" hidden="1">
      <c r="A96" s="207"/>
      <c r="B96" s="207"/>
      <c r="C96" s="207"/>
      <c r="D96" s="208"/>
      <c r="E96" s="209"/>
      <c r="F96" s="210"/>
      <c r="G96" s="217"/>
      <c r="H96" s="291"/>
      <c r="J96" s="212"/>
      <c r="L96" s="215"/>
      <c r="Q96" s="290"/>
      <c r="R96" s="213"/>
      <c r="S96" s="213"/>
      <c r="T96" s="214"/>
      <c r="U96" s="214"/>
      <c r="V96" s="214"/>
      <c r="W96" s="214"/>
    </row>
    <row r="97" spans="1:23" ht="13" hidden="1">
      <c r="A97" s="207"/>
      <c r="B97" s="207"/>
      <c r="C97" s="207"/>
      <c r="D97" s="208"/>
      <c r="E97" s="209"/>
      <c r="F97" s="210"/>
      <c r="G97" s="219"/>
      <c r="H97" s="219"/>
      <c r="J97" s="212"/>
      <c r="L97" s="215"/>
      <c r="Q97" s="290"/>
      <c r="R97" s="213"/>
      <c r="S97" s="213"/>
      <c r="T97" s="214"/>
      <c r="U97" s="214"/>
      <c r="V97" s="214"/>
      <c r="W97" s="214"/>
    </row>
    <row r="98" spans="1:23" ht="13" hidden="1">
      <c r="A98" s="207"/>
      <c r="B98" s="207"/>
      <c r="C98" s="207"/>
      <c r="D98" s="208"/>
      <c r="E98" s="209"/>
      <c r="F98" s="210"/>
      <c r="G98" s="219"/>
      <c r="H98" s="219"/>
      <c r="J98" s="212"/>
      <c r="L98" s="215"/>
      <c r="Q98" s="290"/>
      <c r="R98" s="213"/>
      <c r="S98" s="213"/>
      <c r="T98" s="214"/>
      <c r="U98" s="214"/>
      <c r="V98" s="214"/>
      <c r="W98" s="214"/>
    </row>
    <row r="99" spans="1:23" ht="13" hidden="1">
      <c r="A99" s="207"/>
      <c r="B99" s="207"/>
      <c r="C99" s="207"/>
      <c r="D99" s="208"/>
      <c r="E99" s="209"/>
      <c r="F99" s="210"/>
      <c r="G99" s="219"/>
      <c r="H99" s="219"/>
      <c r="J99" s="212"/>
      <c r="L99" s="215"/>
      <c r="Q99" s="290"/>
      <c r="R99" s="213"/>
      <c r="S99" s="213"/>
      <c r="T99" s="214"/>
      <c r="U99" s="214"/>
      <c r="V99" s="214"/>
      <c r="W99" s="214"/>
    </row>
    <row r="100" spans="1:23" ht="13" hidden="1">
      <c r="A100" s="207"/>
      <c r="B100" s="207"/>
      <c r="C100" s="207"/>
      <c r="D100" s="208"/>
      <c r="E100" s="209"/>
      <c r="F100" s="210"/>
      <c r="G100" s="219"/>
      <c r="H100" s="219"/>
      <c r="J100" s="212"/>
      <c r="L100" s="215"/>
      <c r="Q100" s="290"/>
      <c r="R100" s="213"/>
      <c r="S100" s="213"/>
      <c r="T100" s="214"/>
      <c r="U100" s="214"/>
      <c r="V100" s="214"/>
      <c r="W100" s="214"/>
    </row>
    <row r="101" spans="1:23" ht="13" hidden="1">
      <c r="A101" s="207"/>
      <c r="B101" s="207"/>
      <c r="C101" s="207"/>
      <c r="D101" s="208"/>
      <c r="E101" s="209"/>
      <c r="F101" s="210"/>
      <c r="G101" s="219"/>
      <c r="H101" s="219"/>
      <c r="J101" s="212"/>
      <c r="L101" s="215"/>
      <c r="Q101" s="290"/>
      <c r="R101" s="213"/>
      <c r="S101" s="213"/>
      <c r="T101" s="214"/>
      <c r="U101" s="214"/>
      <c r="V101" s="214"/>
      <c r="W101" s="214"/>
    </row>
    <row r="102" spans="1:23" ht="13" hidden="1">
      <c r="A102" s="207"/>
      <c r="B102" s="207"/>
      <c r="C102" s="207"/>
      <c r="D102" s="208"/>
      <c r="E102" s="209"/>
      <c r="F102" s="210"/>
      <c r="G102" s="219"/>
      <c r="H102" s="219"/>
      <c r="J102" s="212"/>
      <c r="L102" s="215"/>
      <c r="Q102" s="290"/>
      <c r="R102" s="213"/>
      <c r="S102" s="213"/>
      <c r="T102" s="214"/>
      <c r="U102" s="214"/>
      <c r="V102" s="214"/>
      <c r="W102" s="214"/>
    </row>
    <row r="103" spans="1:23" ht="13" hidden="1">
      <c r="A103" s="207"/>
      <c r="B103" s="207"/>
      <c r="C103" s="207"/>
      <c r="D103" s="208"/>
      <c r="E103" s="209"/>
      <c r="F103" s="210"/>
      <c r="G103" s="219"/>
      <c r="H103" s="219"/>
      <c r="J103" s="212"/>
      <c r="L103" s="215"/>
      <c r="Q103" s="290"/>
      <c r="R103" s="213"/>
      <c r="S103" s="213"/>
      <c r="T103" s="214"/>
      <c r="U103" s="214"/>
      <c r="V103" s="214"/>
      <c r="W103" s="214"/>
    </row>
    <row r="104" spans="1:23" ht="15">
      <c r="A104" s="207"/>
      <c r="B104" s="207"/>
      <c r="C104" s="312"/>
      <c r="D104" s="313"/>
      <c r="E104" s="312"/>
      <c r="F104" s="312"/>
      <c r="G104" s="314"/>
      <c r="H104" s="315"/>
      <c r="I104" s="312"/>
      <c r="J104" s="316"/>
      <c r="K104" s="312"/>
      <c r="L104" s="312"/>
      <c r="M104" s="312"/>
      <c r="N104" s="312"/>
      <c r="O104" s="312"/>
      <c r="P104" s="312"/>
      <c r="Q104" s="312"/>
      <c r="R104" s="312"/>
      <c r="S104" s="312"/>
      <c r="T104" s="317"/>
      <c r="U104" s="317"/>
      <c r="V104" s="317"/>
      <c r="W104" s="317"/>
    </row>
    <row r="105" spans="1:23" ht="15">
      <c r="A105" s="207"/>
      <c r="B105" s="207"/>
      <c r="C105" s="223"/>
      <c r="D105" s="318"/>
      <c r="G105" s="219"/>
      <c r="H105" s="220"/>
      <c r="J105" s="212"/>
      <c r="T105" s="214"/>
      <c r="U105" s="214"/>
      <c r="V105" s="214"/>
      <c r="W105" s="214"/>
    </row>
    <row r="106" spans="1:23" ht="15">
      <c r="A106" s="617"/>
      <c r="B106" s="617"/>
      <c r="C106" s="225"/>
      <c r="G106" s="219"/>
      <c r="H106" s="220"/>
      <c r="J106" s="226"/>
      <c r="T106" s="214"/>
      <c r="U106" s="214"/>
      <c r="V106" s="214"/>
      <c r="W106" s="214"/>
    </row>
    <row r="107" spans="1:23" ht="13">
      <c r="A107" s="207"/>
      <c r="B107" s="207"/>
      <c r="C107" s="207"/>
      <c r="G107" s="219"/>
      <c r="H107" s="220"/>
      <c r="J107" s="212"/>
      <c r="T107" s="214"/>
      <c r="U107" s="214"/>
      <c r="V107" s="214"/>
      <c r="W107" s="214"/>
    </row>
    <row r="108" spans="1:23" ht="13">
      <c r="A108" s="207"/>
      <c r="B108" s="207"/>
      <c r="C108" s="623"/>
      <c r="D108" s="228"/>
      <c r="E108" s="228"/>
      <c r="F108" s="228"/>
      <c r="G108" s="229"/>
      <c r="H108" s="230"/>
      <c r="I108" s="228"/>
      <c r="J108" s="231"/>
      <c r="K108" s="228"/>
      <c r="R108" s="228"/>
      <c r="S108" s="228"/>
      <c r="T108" s="214"/>
      <c r="U108" s="214"/>
      <c r="V108" s="214"/>
      <c r="W108" s="214"/>
    </row>
    <row r="109" spans="1:23" ht="13">
      <c r="A109" s="207"/>
      <c r="B109" s="207"/>
      <c r="G109" s="219"/>
      <c r="H109" s="220"/>
      <c r="J109" s="226"/>
      <c r="T109" s="214"/>
      <c r="U109" s="214"/>
      <c r="V109" s="214"/>
      <c r="W109" s="214"/>
    </row>
    <row r="110" spans="1:23" ht="13">
      <c r="A110" s="207"/>
      <c r="B110" s="207"/>
      <c r="C110" s="207"/>
      <c r="G110" s="219"/>
      <c r="H110" s="220"/>
      <c r="J110" s="226"/>
      <c r="T110" s="214"/>
      <c r="U110" s="214"/>
      <c r="V110" s="214"/>
      <c r="W110" s="214"/>
    </row>
    <row r="111" spans="1:23" ht="13">
      <c r="A111" s="207"/>
      <c r="B111" s="207"/>
      <c r="C111" s="160"/>
      <c r="G111" s="219"/>
      <c r="H111" s="220"/>
      <c r="J111" s="226"/>
      <c r="T111" s="214"/>
      <c r="U111" s="214"/>
      <c r="V111" s="214"/>
      <c r="W111" s="214"/>
    </row>
    <row r="112" spans="1:23" ht="13">
      <c r="A112" s="207"/>
      <c r="B112" s="207"/>
      <c r="C112" s="160"/>
      <c r="G112" s="219"/>
      <c r="H112" s="220"/>
      <c r="J112" s="226"/>
      <c r="T112" s="214"/>
      <c r="U112" s="214"/>
      <c r="V112" s="214"/>
      <c r="W112" s="214"/>
    </row>
    <row r="113" spans="1:23" ht="13">
      <c r="A113" s="207"/>
      <c r="B113" s="207"/>
      <c r="C113" s="160"/>
      <c r="G113" s="219"/>
      <c r="H113" s="220"/>
      <c r="J113" s="226"/>
      <c r="T113" s="214"/>
      <c r="U113" s="214"/>
      <c r="V113" s="214"/>
      <c r="W113" s="214"/>
    </row>
    <row r="114" spans="1:23" ht="13">
      <c r="A114" s="207"/>
      <c r="B114" s="207"/>
      <c r="C114" s="160"/>
      <c r="G114" s="219"/>
      <c r="H114" s="220"/>
      <c r="J114" s="226"/>
      <c r="T114" s="214"/>
      <c r="U114" s="214"/>
      <c r="V114" s="214"/>
      <c r="W114" s="214"/>
    </row>
    <row r="115" spans="1:23" ht="13">
      <c r="A115" s="312"/>
      <c r="B115" s="312"/>
      <c r="C115" s="160"/>
      <c r="G115" s="219"/>
      <c r="H115" s="220"/>
      <c r="J115" s="226"/>
      <c r="T115" s="214"/>
      <c r="U115" s="214"/>
      <c r="V115" s="214"/>
      <c r="W115" s="214"/>
    </row>
    <row r="116" spans="1:23" ht="13">
      <c r="A116" s="223"/>
      <c r="B116" s="223"/>
      <c r="C116" s="160"/>
      <c r="G116" s="219"/>
      <c r="H116" s="220"/>
      <c r="J116" s="226"/>
      <c r="T116" s="214"/>
      <c r="U116" s="214"/>
      <c r="V116" s="214"/>
      <c r="W116" s="214"/>
    </row>
    <row r="117" spans="1:23" ht="13">
      <c r="A117" s="225"/>
      <c r="B117" s="225"/>
      <c r="C117" s="160"/>
      <c r="G117" s="219"/>
      <c r="H117" s="220"/>
      <c r="J117" s="226"/>
      <c r="T117" s="214"/>
      <c r="U117" s="214"/>
      <c r="V117" s="214"/>
      <c r="W117" s="214"/>
    </row>
    <row r="118" spans="1:23" ht="13">
      <c r="A118" s="207"/>
      <c r="B118" s="207"/>
      <c r="J118" s="226"/>
      <c r="T118" s="214"/>
      <c r="U118" s="214"/>
      <c r="V118" s="214"/>
      <c r="W118" s="214"/>
    </row>
    <row r="119" spans="1:23" ht="13">
      <c r="A119" s="623"/>
      <c r="B119" s="623"/>
      <c r="C119" s="207"/>
      <c r="J119" s="226"/>
      <c r="T119" s="214"/>
      <c r="U119" s="214"/>
      <c r="V119" s="214"/>
      <c r="W119" s="214"/>
    </row>
    <row r="120" spans="1:23" ht="13">
      <c r="J120" s="226"/>
      <c r="T120" s="214"/>
      <c r="U120" s="214"/>
      <c r="V120" s="214"/>
      <c r="W120" s="214"/>
    </row>
    <row r="121" spans="1:23" ht="13">
      <c r="A121" s="207"/>
      <c r="B121" s="207"/>
      <c r="J121" s="226"/>
      <c r="T121" s="214"/>
      <c r="U121" s="214"/>
      <c r="V121" s="214"/>
      <c r="W121" s="214"/>
    </row>
    <row r="122" spans="1:23" ht="13">
      <c r="A122" s="160"/>
      <c r="B122" s="160"/>
      <c r="J122" s="226"/>
      <c r="T122" s="214"/>
      <c r="U122" s="214"/>
      <c r="V122" s="214"/>
      <c r="W122" s="214"/>
    </row>
    <row r="123" spans="1:23" ht="13">
      <c r="A123" s="160"/>
      <c r="B123" s="160"/>
      <c r="J123" s="226"/>
      <c r="T123" s="214"/>
      <c r="U123" s="214"/>
      <c r="V123" s="214"/>
      <c r="W123" s="214"/>
    </row>
    <row r="124" spans="1:23" ht="13">
      <c r="A124" s="160"/>
      <c r="B124" s="160"/>
      <c r="C124" s="233"/>
      <c r="J124" s="226"/>
      <c r="T124" s="214"/>
      <c r="U124" s="214"/>
      <c r="V124" s="214"/>
      <c r="W124" s="214"/>
    </row>
    <row r="125" spans="1:23" ht="13">
      <c r="A125" s="160"/>
      <c r="B125" s="160"/>
      <c r="C125" s="207"/>
      <c r="J125" s="226"/>
      <c r="T125" s="214"/>
      <c r="U125" s="214"/>
      <c r="V125" s="214"/>
      <c r="W125" s="214"/>
    </row>
    <row r="126" spans="1:23" ht="13">
      <c r="A126" s="160"/>
      <c r="B126" s="160"/>
      <c r="F126" s="233"/>
      <c r="J126" s="226"/>
      <c r="T126" s="214"/>
      <c r="U126" s="214"/>
      <c r="V126" s="214"/>
      <c r="W126" s="214"/>
    </row>
    <row r="127" spans="1:23" ht="13">
      <c r="A127" s="160"/>
      <c r="B127" s="160"/>
      <c r="F127" s="233"/>
      <c r="J127" s="226"/>
      <c r="T127" s="214"/>
      <c r="U127" s="214"/>
      <c r="V127" s="214"/>
      <c r="W127" s="214"/>
    </row>
    <row r="128" spans="1:23" ht="13">
      <c r="A128" s="160"/>
      <c r="B128" s="160"/>
      <c r="J128" s="226"/>
      <c r="T128" s="214"/>
      <c r="U128" s="214"/>
      <c r="V128" s="214"/>
      <c r="W128" s="214"/>
    </row>
    <row r="129" spans="1:23" ht="13">
      <c r="C129" s="160"/>
      <c r="J129" s="226"/>
      <c r="T129" s="214"/>
      <c r="U129" s="214"/>
      <c r="V129" s="214"/>
      <c r="W129" s="214"/>
    </row>
    <row r="130" spans="1:23" ht="13">
      <c r="A130" s="207"/>
      <c r="B130" s="207"/>
      <c r="J130" s="226"/>
      <c r="T130" s="214"/>
      <c r="U130" s="214"/>
      <c r="V130" s="214"/>
      <c r="W130" s="214"/>
    </row>
    <row r="131" spans="1:23" ht="13">
      <c r="A131" s="77"/>
      <c r="B131" s="77"/>
      <c r="J131" s="226"/>
      <c r="T131" s="214"/>
      <c r="U131" s="214"/>
      <c r="V131" s="214"/>
      <c r="W131" s="214"/>
    </row>
    <row r="132" spans="1:23" ht="13">
      <c r="A132" s="77"/>
      <c r="B132" s="77"/>
      <c r="J132" s="226"/>
      <c r="T132" s="214"/>
      <c r="U132" s="214"/>
      <c r="V132" s="214"/>
      <c r="W132" s="214"/>
    </row>
    <row r="133" spans="1:23" ht="13">
      <c r="A133" s="77"/>
      <c r="B133" s="77"/>
      <c r="J133" s="226"/>
      <c r="T133" s="214"/>
      <c r="U133" s="214"/>
      <c r="V133" s="214"/>
      <c r="W133" s="214"/>
    </row>
    <row r="134" spans="1:23" ht="13">
      <c r="A134" s="77"/>
      <c r="B134" s="77"/>
      <c r="J134" s="226"/>
      <c r="T134" s="214"/>
      <c r="U134" s="214"/>
      <c r="V134" s="214"/>
      <c r="W134" s="214"/>
    </row>
    <row r="135" spans="1:23" ht="13">
      <c r="A135" s="233"/>
      <c r="B135" s="233"/>
      <c r="C135" s="207"/>
      <c r="J135" s="226"/>
      <c r="T135" s="214"/>
      <c r="U135" s="214"/>
      <c r="V135" s="214"/>
      <c r="W135" s="214"/>
    </row>
    <row r="136" spans="1:23" ht="13">
      <c r="A136" s="207"/>
      <c r="B136" s="207"/>
      <c r="C136" s="207"/>
      <c r="J136" s="226"/>
      <c r="T136" s="214"/>
      <c r="U136" s="214"/>
      <c r="V136" s="214"/>
      <c r="W136" s="214"/>
    </row>
    <row r="137" spans="1:23" ht="13">
      <c r="A137" s="77"/>
      <c r="B137" s="77"/>
      <c r="C137" s="207"/>
      <c r="J137" s="226"/>
      <c r="T137" s="214"/>
      <c r="U137" s="214"/>
      <c r="V137" s="214"/>
      <c r="W137" s="214"/>
    </row>
    <row r="138" spans="1:23" ht="13">
      <c r="A138" s="77"/>
      <c r="B138" s="77"/>
      <c r="C138" s="207"/>
      <c r="J138" s="226"/>
      <c r="T138" s="214"/>
      <c r="U138" s="214"/>
      <c r="V138" s="214"/>
      <c r="W138" s="214"/>
    </row>
    <row r="139" spans="1:23" ht="13">
      <c r="C139" s="207"/>
      <c r="J139" s="226"/>
      <c r="T139" s="214"/>
      <c r="U139" s="214"/>
      <c r="V139" s="214"/>
      <c r="W139" s="214"/>
    </row>
    <row r="140" spans="1:23" ht="13">
      <c r="A140" s="160"/>
      <c r="B140" s="160"/>
      <c r="C140" s="207"/>
      <c r="J140" s="226"/>
      <c r="T140" s="214"/>
      <c r="U140" s="214"/>
      <c r="V140" s="214"/>
      <c r="W140" s="214"/>
    </row>
    <row r="141" spans="1:23" ht="13">
      <c r="C141" s="233"/>
      <c r="J141" s="226"/>
      <c r="T141" s="214"/>
      <c r="U141" s="214"/>
      <c r="V141" s="214"/>
      <c r="W141" s="214"/>
    </row>
    <row r="142" spans="1:23" ht="13">
      <c r="C142" s="207"/>
      <c r="J142" s="226"/>
      <c r="T142" s="214"/>
      <c r="U142" s="214"/>
      <c r="V142" s="214"/>
      <c r="W142" s="214"/>
    </row>
    <row r="143" spans="1:23" ht="13">
      <c r="C143" s="207"/>
      <c r="J143" s="226"/>
      <c r="T143" s="214"/>
      <c r="U143" s="214"/>
      <c r="V143" s="214"/>
      <c r="W143" s="214"/>
    </row>
    <row r="144" spans="1:23" ht="13">
      <c r="C144" s="233"/>
      <c r="J144" s="226"/>
      <c r="T144" s="214"/>
      <c r="U144" s="214"/>
      <c r="V144" s="214"/>
      <c r="W144" s="214"/>
    </row>
    <row r="145" spans="1:23" ht="13">
      <c r="C145" s="207"/>
      <c r="J145" s="226"/>
      <c r="T145" s="214"/>
      <c r="U145" s="214"/>
      <c r="V145" s="214"/>
      <c r="W145" s="214"/>
    </row>
    <row r="146" spans="1:23" ht="13">
      <c r="A146" s="207"/>
      <c r="B146" s="207"/>
      <c r="C146" s="207"/>
      <c r="J146" s="226"/>
      <c r="T146" s="214"/>
      <c r="U146" s="214"/>
      <c r="V146" s="214"/>
      <c r="W146" s="214"/>
    </row>
    <row r="147" spans="1:23" ht="13">
      <c r="A147" s="207"/>
      <c r="B147" s="207"/>
      <c r="C147" s="207"/>
      <c r="J147" s="226"/>
      <c r="T147" s="214"/>
      <c r="U147" s="214"/>
      <c r="V147" s="214"/>
      <c r="W147" s="214"/>
    </row>
    <row r="148" spans="1:23" ht="13">
      <c r="A148" s="207"/>
      <c r="B148" s="207"/>
      <c r="C148" s="207"/>
      <c r="J148" s="226"/>
      <c r="T148" s="214"/>
      <c r="U148" s="214"/>
      <c r="V148" s="214"/>
      <c r="W148" s="214"/>
    </row>
    <row r="149" spans="1:23" ht="13">
      <c r="A149" s="207"/>
      <c r="B149" s="207"/>
      <c r="C149" s="207"/>
      <c r="J149" s="226"/>
      <c r="T149" s="214"/>
      <c r="U149" s="214"/>
      <c r="V149" s="214"/>
      <c r="W149" s="214"/>
    </row>
    <row r="150" spans="1:23" ht="13">
      <c r="A150" s="207"/>
      <c r="B150" s="207"/>
      <c r="C150" s="207"/>
      <c r="J150" s="226"/>
      <c r="T150" s="214"/>
      <c r="U150" s="214"/>
      <c r="V150" s="214"/>
      <c r="W150" s="214"/>
    </row>
    <row r="151" spans="1:23" ht="13">
      <c r="A151" s="207"/>
      <c r="B151" s="207"/>
      <c r="C151" s="207"/>
      <c r="J151" s="226"/>
      <c r="T151" s="214"/>
      <c r="U151" s="214"/>
      <c r="V151" s="214"/>
      <c r="W151" s="214"/>
    </row>
    <row r="152" spans="1:23" ht="13">
      <c r="A152" s="233"/>
      <c r="B152" s="233"/>
      <c r="C152" s="207"/>
      <c r="J152" s="226"/>
      <c r="T152" s="214"/>
      <c r="U152" s="214"/>
      <c r="V152" s="214"/>
      <c r="W152" s="214"/>
    </row>
    <row r="153" spans="1:23" ht="13">
      <c r="A153" s="207"/>
      <c r="B153" s="207"/>
      <c r="C153" s="207"/>
      <c r="J153" s="226"/>
      <c r="T153" s="214"/>
      <c r="U153" s="214"/>
      <c r="V153" s="214"/>
      <c r="W153" s="214"/>
    </row>
    <row r="154" spans="1:23" ht="13">
      <c r="A154" s="207"/>
      <c r="B154" s="207"/>
      <c r="C154" s="233"/>
      <c r="J154" s="226"/>
      <c r="T154" s="214"/>
      <c r="U154" s="214"/>
      <c r="V154" s="214"/>
      <c r="W154" s="214"/>
    </row>
    <row r="155" spans="1:23" ht="13">
      <c r="A155" s="233"/>
      <c r="B155" s="233"/>
      <c r="C155" s="233"/>
      <c r="J155" s="226"/>
      <c r="T155" s="214"/>
      <c r="U155" s="214"/>
      <c r="V155" s="214"/>
      <c r="W155" s="214"/>
    </row>
    <row r="156" spans="1:23" ht="13">
      <c r="A156" s="207"/>
      <c r="B156" s="207"/>
      <c r="J156" s="226"/>
      <c r="T156" s="214"/>
      <c r="U156" s="214"/>
      <c r="V156" s="214"/>
      <c r="W156" s="214"/>
    </row>
    <row r="157" spans="1:23" ht="13">
      <c r="A157" s="207"/>
      <c r="B157" s="207"/>
      <c r="J157" s="226"/>
      <c r="T157" s="214"/>
      <c r="U157" s="214"/>
      <c r="V157" s="214"/>
      <c r="W157" s="214"/>
    </row>
    <row r="158" spans="1:23" ht="13">
      <c r="A158" s="207"/>
      <c r="B158" s="207"/>
      <c r="J158" s="226"/>
      <c r="T158" s="214"/>
      <c r="U158" s="214"/>
      <c r="V158" s="214"/>
      <c r="W158" s="214"/>
    </row>
    <row r="159" spans="1:23" ht="13">
      <c r="A159" s="207"/>
      <c r="B159" s="207"/>
      <c r="J159" s="226"/>
      <c r="T159" s="214"/>
      <c r="U159" s="214"/>
      <c r="V159" s="214"/>
      <c r="W159" s="214"/>
    </row>
    <row r="160" spans="1:23" ht="13">
      <c r="A160" s="207"/>
      <c r="B160" s="207"/>
      <c r="J160" s="226"/>
    </row>
    <row r="161" spans="1:10" ht="13">
      <c r="A161" s="207"/>
      <c r="B161" s="207"/>
      <c r="J161" s="226"/>
    </row>
    <row r="162" spans="1:10" ht="13">
      <c r="A162" s="207"/>
      <c r="B162" s="207"/>
      <c r="J162" s="226"/>
    </row>
    <row r="163" spans="1:10" ht="13">
      <c r="A163" s="207"/>
      <c r="B163" s="207"/>
      <c r="J163" s="226"/>
    </row>
    <row r="164" spans="1:10" ht="13">
      <c r="A164" s="207"/>
      <c r="B164" s="207"/>
      <c r="J164" s="226"/>
    </row>
    <row r="165" spans="1:10" ht="13">
      <c r="A165" s="233"/>
      <c r="B165" s="233"/>
      <c r="J165" s="226"/>
    </row>
    <row r="166" spans="1:10" ht="13">
      <c r="A166" s="233"/>
      <c r="B166" s="233"/>
      <c r="J166" s="226"/>
    </row>
    <row r="167" spans="1:10" ht="13">
      <c r="J167" s="226"/>
    </row>
    <row r="168" spans="1:10" ht="13">
      <c r="J168" s="226"/>
    </row>
    <row r="169" spans="1:10" ht="13">
      <c r="J169" s="226"/>
    </row>
    <row r="170" spans="1:10" ht="13">
      <c r="J170" s="226"/>
    </row>
    <row r="171" spans="1:10" ht="13">
      <c r="J171" s="226"/>
    </row>
    <row r="172" spans="1:10" ht="13">
      <c r="J172" s="226"/>
    </row>
    <row r="173" spans="1:10" ht="13">
      <c r="J173" s="226"/>
    </row>
    <row r="174" spans="1:10" ht="13">
      <c r="J174" s="226"/>
    </row>
    <row r="175" spans="1:10" ht="13">
      <c r="J175" s="226"/>
    </row>
    <row r="176" spans="1:10" ht="13">
      <c r="J176" s="226"/>
    </row>
    <row r="177" spans="10:10" ht="13">
      <c r="J177" s="226"/>
    </row>
    <row r="178" spans="10:10" ht="13">
      <c r="J178" s="226"/>
    </row>
    <row r="179" spans="10:10" ht="13">
      <c r="J179" s="226"/>
    </row>
    <row r="180" spans="10:10" ht="13">
      <c r="J180" s="226"/>
    </row>
    <row r="181" spans="10:10" ht="13">
      <c r="J181" s="226"/>
    </row>
    <row r="182" spans="10:10" ht="13">
      <c r="J182" s="226"/>
    </row>
    <row r="183" spans="10:10" ht="13">
      <c r="J183" s="226"/>
    </row>
    <row r="184" spans="10:10" ht="13">
      <c r="J184" s="226"/>
    </row>
    <row r="185" spans="10:10" ht="13">
      <c r="J185" s="226"/>
    </row>
    <row r="186" spans="10:10" ht="13">
      <c r="J186" s="226"/>
    </row>
    <row r="187" spans="10:10" ht="13">
      <c r="J187" s="226"/>
    </row>
    <row r="188" spans="10:10" ht="13">
      <c r="J188" s="226"/>
    </row>
    <row r="189" spans="10:10" ht="13">
      <c r="J189" s="226"/>
    </row>
    <row r="190" spans="10:10" ht="13">
      <c r="J190" s="226"/>
    </row>
    <row r="191" spans="10:10" ht="13">
      <c r="J191" s="226"/>
    </row>
    <row r="192" spans="10:10" ht="13">
      <c r="J192" s="226"/>
    </row>
    <row r="193" spans="10:10" ht="13">
      <c r="J193" s="226"/>
    </row>
    <row r="194" spans="10:10" ht="13">
      <c r="J194" s="226"/>
    </row>
    <row r="195" spans="10:10" ht="13">
      <c r="J195" s="226"/>
    </row>
    <row r="196" spans="10:10" ht="13">
      <c r="J196" s="226"/>
    </row>
    <row r="197" spans="10:10" ht="13">
      <c r="J197" s="226"/>
    </row>
    <row r="198" spans="10:10" ht="13">
      <c r="J198" s="226"/>
    </row>
    <row r="199" spans="10:10" ht="13">
      <c r="J199" s="226"/>
    </row>
    <row r="200" spans="10:10" ht="13">
      <c r="J200" s="226"/>
    </row>
    <row r="201" spans="10:10" ht="13">
      <c r="J201" s="226"/>
    </row>
    <row r="202" spans="10:10" ht="13">
      <c r="J202" s="226"/>
    </row>
    <row r="203" spans="10:10" ht="13">
      <c r="J203" s="226"/>
    </row>
    <row r="204" spans="10:10" ht="13">
      <c r="J204" s="226"/>
    </row>
    <row r="205" spans="10:10" ht="13">
      <c r="J205" s="226"/>
    </row>
    <row r="206" spans="10:10" ht="13">
      <c r="J206" s="226"/>
    </row>
    <row r="207" spans="10:10" ht="13">
      <c r="J207" s="226"/>
    </row>
    <row r="208" spans="10:10" ht="13">
      <c r="J208" s="226"/>
    </row>
    <row r="209" spans="10:10" ht="13">
      <c r="J209" s="226"/>
    </row>
    <row r="210" spans="10:10" ht="13">
      <c r="J210" s="226"/>
    </row>
    <row r="211" spans="10:10" ht="13">
      <c r="J211" s="226"/>
    </row>
    <row r="212" spans="10:10" ht="13">
      <c r="J212" s="226"/>
    </row>
    <row r="213" spans="10:10" ht="13">
      <c r="J213" s="226"/>
    </row>
    <row r="214" spans="10:10" ht="13">
      <c r="J214" s="226"/>
    </row>
    <row r="215" spans="10:10" ht="13">
      <c r="J215" s="226"/>
    </row>
    <row r="216" spans="10:10" ht="13">
      <c r="J216" s="226"/>
    </row>
    <row r="217" spans="10:10" ht="13">
      <c r="J217" s="226"/>
    </row>
    <row r="218" spans="10:10" ht="13">
      <c r="J218" s="226"/>
    </row>
    <row r="219" spans="10:10" ht="13">
      <c r="J219" s="226"/>
    </row>
    <row r="220" spans="10:10" ht="13">
      <c r="J220" s="226"/>
    </row>
    <row r="221" spans="10:10" ht="13">
      <c r="J221" s="226"/>
    </row>
    <row r="222" spans="10:10" ht="13">
      <c r="J222" s="226"/>
    </row>
    <row r="223" spans="10:10" ht="13">
      <c r="J223" s="226"/>
    </row>
    <row r="224" spans="10:10" ht="13">
      <c r="J224" s="226"/>
    </row>
    <row r="225" spans="10:10" ht="13">
      <c r="J225" s="226"/>
    </row>
    <row r="226" spans="10:10" ht="13">
      <c r="J226" s="226"/>
    </row>
    <row r="227" spans="10:10" ht="13">
      <c r="J227" s="226"/>
    </row>
    <row r="228" spans="10:10" ht="13">
      <c r="J228" s="226"/>
    </row>
    <row r="229" spans="10:10" ht="13">
      <c r="J229" s="226"/>
    </row>
    <row r="230" spans="10:10" ht="13">
      <c r="J230" s="226"/>
    </row>
    <row r="231" spans="10:10" ht="13">
      <c r="J231" s="226"/>
    </row>
    <row r="232" spans="10:10" ht="13">
      <c r="J232" s="226"/>
    </row>
    <row r="233" spans="10:10" ht="13">
      <c r="J233" s="226"/>
    </row>
    <row r="234" spans="10:10" ht="13">
      <c r="J234" s="226"/>
    </row>
    <row r="235" spans="10:10" ht="13">
      <c r="J235" s="226"/>
    </row>
    <row r="236" spans="10:10" ht="13">
      <c r="J236" s="226"/>
    </row>
    <row r="237" spans="10:10" ht="13">
      <c r="J237" s="226"/>
    </row>
    <row r="238" spans="10:10" ht="13">
      <c r="J238" s="226"/>
    </row>
    <row r="239" spans="10:10" ht="13">
      <c r="J239" s="226"/>
    </row>
    <row r="240" spans="10:10" ht="13">
      <c r="J240" s="226"/>
    </row>
    <row r="241" spans="10:10" ht="13">
      <c r="J241" s="226"/>
    </row>
    <row r="242" spans="10:10" ht="13">
      <c r="J242" s="226"/>
    </row>
    <row r="243" spans="10:10" ht="13">
      <c r="J243" s="226"/>
    </row>
    <row r="244" spans="10:10" ht="13">
      <c r="J244" s="226"/>
    </row>
    <row r="245" spans="10:10" ht="13">
      <c r="J245" s="226"/>
    </row>
    <row r="246" spans="10:10" ht="13">
      <c r="J246" s="226"/>
    </row>
    <row r="247" spans="10:10" ht="13">
      <c r="J247" s="226"/>
    </row>
    <row r="248" spans="10:10" ht="13">
      <c r="J248" s="226"/>
    </row>
    <row r="249" spans="10:10" ht="13">
      <c r="J249" s="226"/>
    </row>
    <row r="250" spans="10:10" ht="13">
      <c r="J250" s="226"/>
    </row>
    <row r="251" spans="10:10" ht="13">
      <c r="J251" s="226"/>
    </row>
    <row r="252" spans="10:10" ht="13">
      <c r="J252" s="226"/>
    </row>
    <row r="253" spans="10:10" ht="13">
      <c r="J253" s="226"/>
    </row>
    <row r="254" spans="10:10" ht="13">
      <c r="J254" s="226"/>
    </row>
    <row r="255" spans="10:10" ht="13">
      <c r="J255" s="226"/>
    </row>
    <row r="256" spans="10:10" ht="13">
      <c r="J256" s="226"/>
    </row>
    <row r="257" spans="10:10" ht="13">
      <c r="J257" s="226"/>
    </row>
    <row r="258" spans="10:10" ht="13">
      <c r="J258" s="226"/>
    </row>
    <row r="259" spans="10:10" ht="13">
      <c r="J259" s="226"/>
    </row>
    <row r="260" spans="10:10" ht="13">
      <c r="J260" s="226"/>
    </row>
    <row r="261" spans="10:10" ht="13">
      <c r="J261" s="226"/>
    </row>
    <row r="262" spans="10:10" ht="13">
      <c r="J262" s="226"/>
    </row>
    <row r="263" spans="10:10" ht="13">
      <c r="J263" s="226"/>
    </row>
    <row r="264" spans="10:10" ht="13">
      <c r="J264" s="226"/>
    </row>
    <row r="265" spans="10:10" ht="13">
      <c r="J265" s="226"/>
    </row>
    <row r="266" spans="10:10" ht="13">
      <c r="J266" s="226"/>
    </row>
    <row r="267" spans="10:10" ht="13">
      <c r="J267" s="226"/>
    </row>
    <row r="268" spans="10:10" ht="13">
      <c r="J268" s="226"/>
    </row>
    <row r="269" spans="10:10" ht="13">
      <c r="J269" s="226"/>
    </row>
    <row r="270" spans="10:10" ht="13">
      <c r="J270" s="226"/>
    </row>
    <row r="271" spans="10:10" ht="13">
      <c r="J271" s="226"/>
    </row>
    <row r="272" spans="10:10" ht="13">
      <c r="J272" s="226"/>
    </row>
    <row r="273" spans="10:10" ht="13">
      <c r="J273" s="226"/>
    </row>
    <row r="274" spans="10:10" ht="13">
      <c r="J274" s="226"/>
    </row>
    <row r="275" spans="10:10" ht="13">
      <c r="J275" s="226"/>
    </row>
    <row r="276" spans="10:10" ht="13">
      <c r="J276" s="226"/>
    </row>
    <row r="277" spans="10:10" ht="13">
      <c r="J277" s="226"/>
    </row>
    <row r="278" spans="10:10" ht="13">
      <c r="J278" s="226"/>
    </row>
    <row r="279" spans="10:10" ht="13">
      <c r="J279" s="226"/>
    </row>
    <row r="280" spans="10:10" ht="13">
      <c r="J280" s="226"/>
    </row>
    <row r="281" spans="10:10" ht="13">
      <c r="J281" s="226"/>
    </row>
    <row r="282" spans="10:10" ht="13">
      <c r="J282" s="226"/>
    </row>
    <row r="283" spans="10:10" ht="13">
      <c r="J283" s="226"/>
    </row>
    <row r="284" spans="10:10" ht="13">
      <c r="J284" s="226"/>
    </row>
    <row r="285" spans="10:10" ht="13">
      <c r="J285" s="226"/>
    </row>
    <row r="286" spans="10:10" ht="13">
      <c r="J286" s="226"/>
    </row>
    <row r="287" spans="10:10" ht="13">
      <c r="J287" s="226"/>
    </row>
    <row r="288" spans="10:10" ht="13">
      <c r="J288" s="226"/>
    </row>
    <row r="289" spans="10:10" ht="13">
      <c r="J289" s="226"/>
    </row>
    <row r="290" spans="10:10" ht="13">
      <c r="J290" s="226"/>
    </row>
    <row r="291" spans="10:10" ht="13">
      <c r="J291" s="226"/>
    </row>
    <row r="292" spans="10:10" ht="13">
      <c r="J292" s="226"/>
    </row>
    <row r="293" spans="10:10" ht="13">
      <c r="J293" s="226"/>
    </row>
    <row r="294" spans="10:10" ht="13">
      <c r="J294" s="226"/>
    </row>
    <row r="295" spans="10:10" ht="13">
      <c r="J295" s="226"/>
    </row>
    <row r="296" spans="10:10" ht="13">
      <c r="J296" s="226"/>
    </row>
    <row r="297" spans="10:10" ht="13">
      <c r="J297" s="226"/>
    </row>
    <row r="298" spans="10:10" ht="13">
      <c r="J298" s="226"/>
    </row>
    <row r="299" spans="10:10" ht="13">
      <c r="J299" s="226"/>
    </row>
    <row r="300" spans="10:10" ht="13">
      <c r="J300" s="226"/>
    </row>
    <row r="301" spans="10:10" ht="13">
      <c r="J301" s="226"/>
    </row>
    <row r="302" spans="10:10" ht="13">
      <c r="J302" s="226"/>
    </row>
    <row r="303" spans="10:10" ht="13">
      <c r="J303" s="226"/>
    </row>
    <row r="304" spans="10:10" ht="13">
      <c r="J304" s="226"/>
    </row>
    <row r="305" spans="10:10" ht="13">
      <c r="J305" s="226"/>
    </row>
    <row r="306" spans="10:10" ht="13">
      <c r="J306" s="226"/>
    </row>
    <row r="307" spans="10:10" ht="13">
      <c r="J307" s="226"/>
    </row>
    <row r="308" spans="10:10" ht="13">
      <c r="J308" s="226"/>
    </row>
    <row r="309" spans="10:10" ht="13">
      <c r="J309" s="226"/>
    </row>
    <row r="310" spans="10:10" ht="13">
      <c r="J310" s="226"/>
    </row>
    <row r="311" spans="10:10" ht="13">
      <c r="J311" s="226"/>
    </row>
    <row r="312" spans="10:10" ht="13">
      <c r="J312" s="226"/>
    </row>
    <row r="313" spans="10:10" ht="13">
      <c r="J313" s="226"/>
    </row>
    <row r="314" spans="10:10" ht="13">
      <c r="J314" s="226"/>
    </row>
    <row r="315" spans="10:10" ht="13">
      <c r="J315" s="226"/>
    </row>
    <row r="316" spans="10:10" ht="13">
      <c r="J316" s="226"/>
    </row>
    <row r="317" spans="10:10" ht="13">
      <c r="J317" s="226"/>
    </row>
    <row r="318" spans="10:10" ht="13">
      <c r="J318" s="226"/>
    </row>
    <row r="319" spans="10:10" ht="13">
      <c r="J319" s="226"/>
    </row>
    <row r="320" spans="10:10" ht="13">
      <c r="J320" s="226"/>
    </row>
    <row r="321" spans="10:10" ht="13">
      <c r="J321" s="226"/>
    </row>
    <row r="322" spans="10:10" ht="13">
      <c r="J322" s="226"/>
    </row>
    <row r="323" spans="10:10" ht="13">
      <c r="J323" s="226"/>
    </row>
    <row r="324" spans="10:10" ht="13">
      <c r="J324" s="226"/>
    </row>
    <row r="325" spans="10:10" ht="13">
      <c r="J325" s="226"/>
    </row>
    <row r="326" spans="10:10" ht="13">
      <c r="J326" s="226"/>
    </row>
    <row r="327" spans="10:10" ht="13">
      <c r="J327" s="226"/>
    </row>
    <row r="328" spans="10:10" ht="13">
      <c r="J328" s="226"/>
    </row>
    <row r="329" spans="10:10" ht="13">
      <c r="J329" s="226"/>
    </row>
    <row r="330" spans="10:10" ht="13">
      <c r="J330" s="226"/>
    </row>
    <row r="331" spans="10:10" ht="13">
      <c r="J331" s="226"/>
    </row>
    <row r="332" spans="10:10" ht="13">
      <c r="J332" s="226"/>
    </row>
    <row r="333" spans="10:10" ht="13">
      <c r="J333" s="226"/>
    </row>
    <row r="334" spans="10:10" ht="13">
      <c r="J334" s="226"/>
    </row>
    <row r="335" spans="10:10" ht="13">
      <c r="J335" s="226"/>
    </row>
    <row r="336" spans="10:10" ht="13">
      <c r="J336" s="226"/>
    </row>
    <row r="337" spans="10:10" ht="13">
      <c r="J337" s="226"/>
    </row>
    <row r="338" spans="10:10" ht="13">
      <c r="J338" s="226"/>
    </row>
    <row r="339" spans="10:10" ht="13">
      <c r="J339" s="226"/>
    </row>
    <row r="340" spans="10:10" ht="13">
      <c r="J340" s="226"/>
    </row>
    <row r="341" spans="10:10" ht="13">
      <c r="J341" s="226"/>
    </row>
    <row r="342" spans="10:10" ht="13">
      <c r="J342" s="226"/>
    </row>
    <row r="343" spans="10:10" ht="13">
      <c r="J343" s="226"/>
    </row>
    <row r="344" spans="10:10" ht="13">
      <c r="J344" s="226"/>
    </row>
    <row r="345" spans="10:10" ht="13">
      <c r="J345" s="226"/>
    </row>
    <row r="346" spans="10:10" ht="13">
      <c r="J346" s="226"/>
    </row>
    <row r="347" spans="10:10" ht="13">
      <c r="J347" s="226"/>
    </row>
    <row r="348" spans="10:10" ht="13">
      <c r="J348" s="226"/>
    </row>
    <row r="349" spans="10:10" ht="13">
      <c r="J349" s="226"/>
    </row>
    <row r="350" spans="10:10" ht="13">
      <c r="J350" s="226"/>
    </row>
    <row r="351" spans="10:10" ht="13">
      <c r="J351" s="226"/>
    </row>
    <row r="352" spans="10:10" ht="13">
      <c r="J352" s="226"/>
    </row>
    <row r="353" spans="10:10" ht="13">
      <c r="J353" s="226"/>
    </row>
    <row r="354" spans="10:10" ht="13">
      <c r="J354" s="226"/>
    </row>
    <row r="355" spans="10:10" ht="13">
      <c r="J355" s="226"/>
    </row>
    <row r="356" spans="10:10" ht="13">
      <c r="J356" s="226"/>
    </row>
    <row r="357" spans="10:10" ht="13">
      <c r="J357" s="226"/>
    </row>
    <row r="358" spans="10:10" ht="13">
      <c r="J358" s="226"/>
    </row>
    <row r="359" spans="10:10" ht="13">
      <c r="J359" s="226"/>
    </row>
    <row r="360" spans="10:10" ht="13">
      <c r="J360" s="226"/>
    </row>
    <row r="361" spans="10:10" ht="13">
      <c r="J361" s="226"/>
    </row>
    <row r="362" spans="10:10" ht="13">
      <c r="J362" s="226"/>
    </row>
    <row r="363" spans="10:10" ht="13">
      <c r="J363" s="226"/>
    </row>
    <row r="364" spans="10:10" ht="13">
      <c r="J364" s="226"/>
    </row>
    <row r="365" spans="10:10" ht="13">
      <c r="J365" s="226"/>
    </row>
    <row r="366" spans="10:10" ht="13">
      <c r="J366" s="226"/>
    </row>
    <row r="367" spans="10:10" ht="13">
      <c r="J367" s="226"/>
    </row>
    <row r="368" spans="10:10" ht="13">
      <c r="J368" s="226"/>
    </row>
    <row r="369" spans="10:10" ht="13">
      <c r="J369" s="226"/>
    </row>
    <row r="370" spans="10:10" ht="13">
      <c r="J370" s="226"/>
    </row>
    <row r="371" spans="10:10" ht="13">
      <c r="J371" s="226"/>
    </row>
    <row r="372" spans="10:10" ht="13">
      <c r="J372" s="226"/>
    </row>
    <row r="373" spans="10:10" ht="13">
      <c r="J373" s="226"/>
    </row>
    <row r="374" spans="10:10" ht="13">
      <c r="J374" s="226"/>
    </row>
    <row r="375" spans="10:10" ht="13">
      <c r="J375" s="226"/>
    </row>
    <row r="376" spans="10:10" ht="13">
      <c r="J376" s="226"/>
    </row>
    <row r="377" spans="10:10" ht="13">
      <c r="J377" s="226"/>
    </row>
    <row r="378" spans="10:10" ht="13">
      <c r="J378" s="226"/>
    </row>
    <row r="379" spans="10:10" ht="13">
      <c r="J379" s="226"/>
    </row>
    <row r="380" spans="10:10" ht="13">
      <c r="J380" s="226"/>
    </row>
    <row r="381" spans="10:10" ht="13">
      <c r="J381" s="226"/>
    </row>
    <row r="382" spans="10:10" ht="13">
      <c r="J382" s="226"/>
    </row>
    <row r="383" spans="10:10" ht="13">
      <c r="J383" s="226"/>
    </row>
    <row r="384" spans="10:10" ht="13">
      <c r="J384" s="226"/>
    </row>
    <row r="385" spans="10:10" ht="13">
      <c r="J385" s="226"/>
    </row>
    <row r="386" spans="10:10" ht="13">
      <c r="J386" s="226"/>
    </row>
    <row r="387" spans="10:10" ht="13">
      <c r="J387" s="226"/>
    </row>
    <row r="388" spans="10:10" ht="13">
      <c r="J388" s="226"/>
    </row>
    <row r="389" spans="10:10" ht="13">
      <c r="J389" s="226"/>
    </row>
    <row r="390" spans="10:10" ht="13">
      <c r="J390" s="226"/>
    </row>
    <row r="391" spans="10:10" ht="13">
      <c r="J391" s="226"/>
    </row>
    <row r="392" spans="10:10" ht="13">
      <c r="J392" s="226"/>
    </row>
    <row r="393" spans="10:10" ht="13">
      <c r="J393" s="226"/>
    </row>
    <row r="394" spans="10:10" ht="13">
      <c r="J394" s="226"/>
    </row>
    <row r="395" spans="10:10" ht="13">
      <c r="J395" s="226"/>
    </row>
    <row r="396" spans="10:10" ht="13">
      <c r="J396" s="226"/>
    </row>
    <row r="397" spans="10:10" ht="13">
      <c r="J397" s="226"/>
    </row>
    <row r="398" spans="10:10" ht="13">
      <c r="J398" s="226"/>
    </row>
    <row r="399" spans="10:10" ht="13">
      <c r="J399" s="226"/>
    </row>
    <row r="400" spans="10:10" ht="13">
      <c r="J400" s="226"/>
    </row>
    <row r="401" spans="10:10" ht="13">
      <c r="J401" s="226"/>
    </row>
    <row r="402" spans="10:10" ht="13">
      <c r="J402" s="226"/>
    </row>
    <row r="403" spans="10:10" ht="13">
      <c r="J403" s="226"/>
    </row>
    <row r="404" spans="10:10" ht="13">
      <c r="J404" s="226"/>
    </row>
    <row r="405" spans="10:10" ht="13">
      <c r="J405" s="226"/>
    </row>
    <row r="406" spans="10:10" ht="13">
      <c r="J406" s="226"/>
    </row>
    <row r="407" spans="10:10" ht="13">
      <c r="J407" s="226"/>
    </row>
    <row r="408" spans="10:10" ht="13">
      <c r="J408" s="226"/>
    </row>
    <row r="409" spans="10:10" ht="13">
      <c r="J409" s="226"/>
    </row>
    <row r="410" spans="10:10" ht="13">
      <c r="J410" s="226"/>
    </row>
    <row r="411" spans="10:10" ht="13">
      <c r="J411" s="226"/>
    </row>
    <row r="412" spans="10:10" ht="13">
      <c r="J412" s="226"/>
    </row>
    <row r="413" spans="10:10" ht="13">
      <c r="J413" s="226"/>
    </row>
    <row r="414" spans="10:10" ht="13">
      <c r="J414" s="226"/>
    </row>
    <row r="415" spans="10:10" ht="13">
      <c r="J415" s="226"/>
    </row>
    <row r="416" spans="10:10" ht="13">
      <c r="J416" s="226"/>
    </row>
    <row r="417" spans="10:10" ht="13">
      <c r="J417" s="226"/>
    </row>
    <row r="418" spans="10:10" ht="13">
      <c r="J418" s="226"/>
    </row>
    <row r="419" spans="10:10" ht="13">
      <c r="J419" s="226"/>
    </row>
    <row r="420" spans="10:10" ht="13">
      <c r="J420" s="226"/>
    </row>
    <row r="421" spans="10:10" ht="13">
      <c r="J421" s="226"/>
    </row>
    <row r="422" spans="10:10" ht="13">
      <c r="J422" s="226"/>
    </row>
    <row r="423" spans="10:10" ht="13">
      <c r="J423" s="226"/>
    </row>
    <row r="424" spans="10:10" ht="13">
      <c r="J424" s="226"/>
    </row>
    <row r="425" spans="10:10" ht="13">
      <c r="J425" s="226"/>
    </row>
    <row r="426" spans="10:10" ht="13">
      <c r="J426" s="226"/>
    </row>
    <row r="427" spans="10:10" ht="13">
      <c r="J427" s="226"/>
    </row>
    <row r="428" spans="10:10" ht="13">
      <c r="J428" s="226"/>
    </row>
    <row r="429" spans="10:10" ht="13">
      <c r="J429" s="226"/>
    </row>
    <row r="430" spans="10:10" ht="13">
      <c r="J430" s="226"/>
    </row>
    <row r="431" spans="10:10" ht="13">
      <c r="J431" s="226"/>
    </row>
    <row r="432" spans="10:10" ht="13">
      <c r="J432" s="226"/>
    </row>
    <row r="433" spans="10:10" ht="13">
      <c r="J433" s="226"/>
    </row>
    <row r="434" spans="10:10" ht="13">
      <c r="J434" s="226"/>
    </row>
    <row r="435" spans="10:10" ht="13">
      <c r="J435" s="226"/>
    </row>
    <row r="436" spans="10:10" ht="13">
      <c r="J436" s="226"/>
    </row>
    <row r="437" spans="10:10" ht="13">
      <c r="J437" s="226"/>
    </row>
    <row r="438" spans="10:10" ht="13">
      <c r="J438" s="226"/>
    </row>
    <row r="439" spans="10:10" ht="13">
      <c r="J439" s="226"/>
    </row>
    <row r="440" spans="10:10" ht="13">
      <c r="J440" s="226"/>
    </row>
    <row r="441" spans="10:10" ht="13">
      <c r="J441" s="226"/>
    </row>
    <row r="442" spans="10:10" ht="13">
      <c r="J442" s="226"/>
    </row>
    <row r="443" spans="10:10" ht="13">
      <c r="J443" s="226"/>
    </row>
    <row r="444" spans="10:10" ht="13">
      <c r="J444" s="226"/>
    </row>
    <row r="445" spans="10:10" ht="13">
      <c r="J445" s="226"/>
    </row>
    <row r="446" spans="10:10" ht="13">
      <c r="J446" s="226"/>
    </row>
    <row r="447" spans="10:10" ht="13">
      <c r="J447" s="226"/>
    </row>
    <row r="448" spans="10:10" ht="13">
      <c r="J448" s="226"/>
    </row>
    <row r="449" spans="10:10" ht="13">
      <c r="J449" s="226"/>
    </row>
    <row r="450" spans="10:10" ht="13">
      <c r="J450" s="226"/>
    </row>
    <row r="451" spans="10:10" ht="13">
      <c r="J451" s="226"/>
    </row>
    <row r="452" spans="10:10" ht="13">
      <c r="J452" s="226"/>
    </row>
    <row r="453" spans="10:10" ht="13">
      <c r="J453" s="226"/>
    </row>
    <row r="454" spans="10:10" ht="13">
      <c r="J454" s="226"/>
    </row>
    <row r="455" spans="10:10" ht="13">
      <c r="J455" s="226"/>
    </row>
    <row r="456" spans="10:10" ht="13">
      <c r="J456" s="226"/>
    </row>
    <row r="457" spans="10:10" ht="13">
      <c r="J457" s="226"/>
    </row>
    <row r="458" spans="10:10" ht="13">
      <c r="J458" s="226"/>
    </row>
    <row r="459" spans="10:10" ht="13">
      <c r="J459" s="226"/>
    </row>
    <row r="460" spans="10:10" ht="13">
      <c r="J460" s="226"/>
    </row>
    <row r="461" spans="10:10" ht="13">
      <c r="J461" s="226"/>
    </row>
    <row r="462" spans="10:10" ht="13">
      <c r="J462" s="226"/>
    </row>
    <row r="463" spans="10:10" ht="13">
      <c r="J463" s="226"/>
    </row>
    <row r="464" spans="10:10" ht="13">
      <c r="J464" s="226"/>
    </row>
    <row r="465" spans="10:10" ht="13">
      <c r="J465" s="226"/>
    </row>
    <row r="466" spans="10:10" ht="13">
      <c r="J466" s="226"/>
    </row>
    <row r="467" spans="10:10" ht="13">
      <c r="J467" s="226"/>
    </row>
    <row r="468" spans="10:10" ht="13">
      <c r="J468" s="226"/>
    </row>
    <row r="469" spans="10:10" ht="13">
      <c r="J469" s="226"/>
    </row>
    <row r="470" spans="10:10" ht="13">
      <c r="J470" s="226"/>
    </row>
    <row r="471" spans="10:10" ht="13">
      <c r="J471" s="226"/>
    </row>
    <row r="472" spans="10:10" ht="13">
      <c r="J472" s="226"/>
    </row>
    <row r="473" spans="10:10" ht="13">
      <c r="J473" s="226"/>
    </row>
    <row r="474" spans="10:10" ht="13">
      <c r="J474" s="226"/>
    </row>
    <row r="475" spans="10:10" ht="13">
      <c r="J475" s="226"/>
    </row>
    <row r="476" spans="10:10" ht="13">
      <c r="J476" s="226"/>
    </row>
    <row r="477" spans="10:10" ht="13">
      <c r="J477" s="226"/>
    </row>
    <row r="478" spans="10:10" ht="13">
      <c r="J478" s="226"/>
    </row>
    <row r="479" spans="10:10" ht="13">
      <c r="J479" s="226"/>
    </row>
    <row r="480" spans="10:10" ht="13">
      <c r="J480" s="226"/>
    </row>
    <row r="481" spans="10:10" ht="13">
      <c r="J481" s="226"/>
    </row>
    <row r="482" spans="10:10" ht="13">
      <c r="J482" s="226"/>
    </row>
    <row r="483" spans="10:10" ht="13">
      <c r="J483" s="226"/>
    </row>
    <row r="484" spans="10:10" ht="13">
      <c r="J484" s="226"/>
    </row>
    <row r="485" spans="10:10" ht="13">
      <c r="J485" s="226"/>
    </row>
    <row r="486" spans="10:10" ht="13">
      <c r="J486" s="226"/>
    </row>
    <row r="487" spans="10:10" ht="13">
      <c r="J487" s="226"/>
    </row>
    <row r="488" spans="10:10" ht="13">
      <c r="J488" s="226"/>
    </row>
    <row r="489" spans="10:10" ht="13">
      <c r="J489" s="226"/>
    </row>
    <row r="490" spans="10:10" ht="13">
      <c r="J490" s="226"/>
    </row>
    <row r="491" spans="10:10" ht="13">
      <c r="J491" s="226"/>
    </row>
    <row r="492" spans="10:10" ht="13">
      <c r="J492" s="226"/>
    </row>
    <row r="493" spans="10:10" ht="13">
      <c r="J493" s="226"/>
    </row>
    <row r="494" spans="10:10" ht="13">
      <c r="J494" s="226"/>
    </row>
    <row r="495" spans="10:10" ht="13">
      <c r="J495" s="226"/>
    </row>
    <row r="496" spans="10:10" ht="13">
      <c r="J496" s="226"/>
    </row>
    <row r="497" spans="10:10" ht="13">
      <c r="J497" s="226"/>
    </row>
    <row r="498" spans="10:10" ht="13">
      <c r="J498" s="226"/>
    </row>
    <row r="499" spans="10:10" ht="13">
      <c r="J499" s="226"/>
    </row>
    <row r="500" spans="10:10" ht="13">
      <c r="J500" s="226"/>
    </row>
    <row r="501" spans="10:10" ht="13">
      <c r="J501" s="226"/>
    </row>
    <row r="502" spans="10:10" ht="13">
      <c r="J502" s="226"/>
    </row>
    <row r="503" spans="10:10" ht="13">
      <c r="J503" s="226"/>
    </row>
    <row r="504" spans="10:10" ht="13">
      <c r="J504" s="226"/>
    </row>
    <row r="505" spans="10:10" ht="13">
      <c r="J505" s="226"/>
    </row>
    <row r="506" spans="10:10" ht="13">
      <c r="J506" s="226"/>
    </row>
    <row r="507" spans="10:10" ht="13">
      <c r="J507" s="226"/>
    </row>
    <row r="508" spans="10:10" ht="13">
      <c r="J508" s="226"/>
    </row>
    <row r="509" spans="10:10" ht="13">
      <c r="J509" s="226"/>
    </row>
    <row r="510" spans="10:10" ht="13">
      <c r="J510" s="226"/>
    </row>
    <row r="511" spans="10:10" ht="13">
      <c r="J511" s="226"/>
    </row>
    <row r="512" spans="10:10" ht="13">
      <c r="J512" s="226"/>
    </row>
    <row r="513" spans="10:10" ht="13">
      <c r="J513" s="226"/>
    </row>
    <row r="514" spans="10:10" ht="13">
      <c r="J514" s="226"/>
    </row>
    <row r="515" spans="10:10" ht="13">
      <c r="J515" s="226"/>
    </row>
    <row r="516" spans="10:10" ht="13">
      <c r="J516" s="226"/>
    </row>
    <row r="517" spans="10:10" ht="13">
      <c r="J517" s="226"/>
    </row>
    <row r="518" spans="10:10" ht="13">
      <c r="J518" s="226"/>
    </row>
    <row r="519" spans="10:10" ht="13">
      <c r="J519" s="226"/>
    </row>
    <row r="520" spans="10:10" ht="13">
      <c r="J520" s="226"/>
    </row>
    <row r="521" spans="10:10" ht="13">
      <c r="J521" s="226"/>
    </row>
    <row r="522" spans="10:10" ht="13">
      <c r="J522" s="226"/>
    </row>
    <row r="523" spans="10:10" ht="13">
      <c r="J523" s="226"/>
    </row>
    <row r="524" spans="10:10" ht="13">
      <c r="J524" s="226"/>
    </row>
    <row r="525" spans="10:10" ht="13">
      <c r="J525" s="226"/>
    </row>
    <row r="526" spans="10:10" ht="13">
      <c r="J526" s="226"/>
    </row>
    <row r="527" spans="10:10" ht="13">
      <c r="J527" s="226"/>
    </row>
    <row r="528" spans="10:10" ht="13">
      <c r="J528" s="226"/>
    </row>
    <row r="529" spans="10:10" ht="13">
      <c r="J529" s="226"/>
    </row>
    <row r="530" spans="10:10" ht="13">
      <c r="J530" s="226"/>
    </row>
    <row r="531" spans="10:10" ht="13">
      <c r="J531" s="226"/>
    </row>
    <row r="532" spans="10:10" ht="13">
      <c r="J532" s="226"/>
    </row>
    <row r="533" spans="10:10" ht="13">
      <c r="J533" s="226"/>
    </row>
    <row r="534" spans="10:10" ht="13">
      <c r="J534" s="226"/>
    </row>
    <row r="535" spans="10:10" ht="13">
      <c r="J535" s="226"/>
    </row>
    <row r="536" spans="10:10" ht="13">
      <c r="J536" s="226"/>
    </row>
    <row r="537" spans="10:10" ht="13">
      <c r="J537" s="226"/>
    </row>
    <row r="538" spans="10:10" ht="13">
      <c r="J538" s="226"/>
    </row>
    <row r="539" spans="10:10" ht="13">
      <c r="J539" s="226"/>
    </row>
    <row r="540" spans="10:10" ht="13">
      <c r="J540" s="226"/>
    </row>
    <row r="541" spans="10:10" ht="13">
      <c r="J541" s="226"/>
    </row>
    <row r="542" spans="10:10" ht="13">
      <c r="J542" s="226"/>
    </row>
    <row r="543" spans="10:10" ht="13">
      <c r="J543" s="226"/>
    </row>
    <row r="544" spans="10:10" ht="13">
      <c r="J544" s="226"/>
    </row>
    <row r="545" spans="10:10" ht="13">
      <c r="J545" s="226"/>
    </row>
    <row r="546" spans="10:10" ht="13">
      <c r="J546" s="226"/>
    </row>
    <row r="547" spans="10:10" ht="13">
      <c r="J547" s="226"/>
    </row>
    <row r="548" spans="10:10" ht="13">
      <c r="J548" s="226"/>
    </row>
    <row r="549" spans="10:10" ht="13">
      <c r="J549" s="226"/>
    </row>
    <row r="550" spans="10:10" ht="13">
      <c r="J550" s="226"/>
    </row>
    <row r="551" spans="10:10" ht="13">
      <c r="J551" s="226"/>
    </row>
    <row r="552" spans="10:10" ht="13">
      <c r="J552" s="226"/>
    </row>
    <row r="553" spans="10:10" ht="13">
      <c r="J553" s="226"/>
    </row>
    <row r="554" spans="10:10" ht="13">
      <c r="J554" s="226"/>
    </row>
    <row r="555" spans="10:10" ht="13">
      <c r="J555" s="226"/>
    </row>
    <row r="556" spans="10:10" ht="13">
      <c r="J556" s="226"/>
    </row>
    <row r="557" spans="10:10" ht="13">
      <c r="J557" s="226"/>
    </row>
    <row r="558" spans="10:10" ht="13">
      <c r="J558" s="226"/>
    </row>
    <row r="559" spans="10:10" ht="13">
      <c r="J559" s="226"/>
    </row>
    <row r="560" spans="10:10" ht="13">
      <c r="J560" s="226"/>
    </row>
    <row r="561" spans="10:10" ht="13">
      <c r="J561" s="226"/>
    </row>
    <row r="562" spans="10:10" ht="13">
      <c r="J562" s="226"/>
    </row>
    <row r="563" spans="10:10" ht="13">
      <c r="J563" s="226"/>
    </row>
    <row r="564" spans="10:10" ht="13">
      <c r="J564" s="226"/>
    </row>
    <row r="565" spans="10:10" ht="13">
      <c r="J565" s="226"/>
    </row>
    <row r="566" spans="10:10" ht="13">
      <c r="J566" s="226"/>
    </row>
    <row r="567" spans="10:10" ht="13">
      <c r="J567" s="226"/>
    </row>
    <row r="568" spans="10:10" ht="13">
      <c r="J568" s="226"/>
    </row>
    <row r="569" spans="10:10" ht="13">
      <c r="J569" s="226"/>
    </row>
    <row r="570" spans="10:10" ht="13">
      <c r="J570" s="226"/>
    </row>
    <row r="571" spans="10:10" ht="13">
      <c r="J571" s="226"/>
    </row>
    <row r="572" spans="10:10" ht="13">
      <c r="J572" s="226"/>
    </row>
    <row r="573" spans="10:10" ht="13">
      <c r="J573" s="226"/>
    </row>
    <row r="574" spans="10:10" ht="13">
      <c r="J574" s="226"/>
    </row>
    <row r="575" spans="10:10" ht="13">
      <c r="J575" s="226"/>
    </row>
    <row r="576" spans="10:10" ht="13">
      <c r="J576" s="226"/>
    </row>
    <row r="577" spans="10:10" ht="13">
      <c r="J577" s="226"/>
    </row>
    <row r="578" spans="10:10" ht="13">
      <c r="J578" s="226"/>
    </row>
    <row r="579" spans="10:10" ht="13">
      <c r="J579" s="226"/>
    </row>
    <row r="580" spans="10:10" ht="13">
      <c r="J580" s="226"/>
    </row>
    <row r="581" spans="10:10" ht="13">
      <c r="J581" s="226"/>
    </row>
    <row r="582" spans="10:10" ht="13">
      <c r="J582" s="226"/>
    </row>
    <row r="583" spans="10:10" ht="13">
      <c r="J583" s="226"/>
    </row>
    <row r="584" spans="10:10" ht="13">
      <c r="J584" s="226"/>
    </row>
    <row r="585" spans="10:10" ht="13">
      <c r="J585" s="226"/>
    </row>
    <row r="586" spans="10:10" ht="13">
      <c r="J586" s="226"/>
    </row>
    <row r="587" spans="10:10" ht="13">
      <c r="J587" s="226"/>
    </row>
    <row r="588" spans="10:10" ht="13">
      <c r="J588" s="226"/>
    </row>
    <row r="589" spans="10:10" ht="13">
      <c r="J589" s="226"/>
    </row>
    <row r="590" spans="10:10" ht="13">
      <c r="J590" s="226"/>
    </row>
    <row r="591" spans="10:10" ht="13">
      <c r="J591" s="226"/>
    </row>
    <row r="592" spans="10:10" ht="13">
      <c r="J592" s="226"/>
    </row>
    <row r="593" spans="10:10" ht="13">
      <c r="J593" s="226"/>
    </row>
    <row r="594" spans="10:10" ht="13">
      <c r="J594" s="226"/>
    </row>
    <row r="595" spans="10:10" ht="13">
      <c r="J595" s="226"/>
    </row>
    <row r="596" spans="10:10" ht="13">
      <c r="J596" s="226"/>
    </row>
    <row r="597" spans="10:10" ht="13">
      <c r="J597" s="226"/>
    </row>
    <row r="598" spans="10:10" ht="13">
      <c r="J598" s="226"/>
    </row>
    <row r="599" spans="10:10" ht="13">
      <c r="J599" s="226"/>
    </row>
    <row r="600" spans="10:10" ht="13">
      <c r="J600" s="226"/>
    </row>
    <row r="601" spans="10:10" ht="13">
      <c r="J601" s="226"/>
    </row>
    <row r="602" spans="10:10" ht="13">
      <c r="J602" s="226"/>
    </row>
    <row r="603" spans="10:10" ht="13">
      <c r="J603" s="226"/>
    </row>
    <row r="604" spans="10:10" ht="13">
      <c r="J604" s="226"/>
    </row>
    <row r="605" spans="10:10" ht="13">
      <c r="J605" s="226"/>
    </row>
    <row r="606" spans="10:10" ht="13">
      <c r="J606" s="226"/>
    </row>
    <row r="607" spans="10:10" ht="13">
      <c r="J607" s="226"/>
    </row>
    <row r="608" spans="10:10" ht="13">
      <c r="J608" s="226"/>
    </row>
    <row r="609" spans="10:10" ht="13">
      <c r="J609" s="226"/>
    </row>
    <row r="610" spans="10:10" ht="13">
      <c r="J610" s="226"/>
    </row>
    <row r="611" spans="10:10" ht="13">
      <c r="J611" s="226"/>
    </row>
    <row r="612" spans="10:10" ht="13">
      <c r="J612" s="226"/>
    </row>
    <row r="613" spans="10:10" ht="13">
      <c r="J613" s="226"/>
    </row>
    <row r="614" spans="10:10" ht="13">
      <c r="J614" s="226"/>
    </row>
    <row r="615" spans="10:10" ht="13">
      <c r="J615" s="226"/>
    </row>
    <row r="616" spans="10:10" ht="13">
      <c r="J616" s="226"/>
    </row>
    <row r="617" spans="10:10" ht="13">
      <c r="J617" s="226"/>
    </row>
    <row r="618" spans="10:10" ht="13">
      <c r="J618" s="226"/>
    </row>
    <row r="619" spans="10:10" ht="13">
      <c r="J619" s="226"/>
    </row>
    <row r="620" spans="10:10" ht="13">
      <c r="J620" s="226"/>
    </row>
    <row r="621" spans="10:10" ht="13">
      <c r="J621" s="226"/>
    </row>
    <row r="622" spans="10:10" ht="13">
      <c r="J622" s="226"/>
    </row>
    <row r="623" spans="10:10" ht="13">
      <c r="J623" s="226"/>
    </row>
    <row r="624" spans="10:10" ht="13">
      <c r="J624" s="226"/>
    </row>
    <row r="625" spans="10:10" ht="13">
      <c r="J625" s="226"/>
    </row>
    <row r="626" spans="10:10" ht="13">
      <c r="J626" s="226"/>
    </row>
    <row r="627" spans="10:10" ht="13">
      <c r="J627" s="226"/>
    </row>
    <row r="628" spans="10:10" ht="13">
      <c r="J628" s="226"/>
    </row>
    <row r="629" spans="10:10" ht="13">
      <c r="J629" s="226"/>
    </row>
    <row r="630" spans="10:10" ht="13">
      <c r="J630" s="226"/>
    </row>
    <row r="631" spans="10:10" ht="13">
      <c r="J631" s="226"/>
    </row>
    <row r="632" spans="10:10" ht="13">
      <c r="J632" s="226"/>
    </row>
    <row r="633" spans="10:10" ht="13">
      <c r="J633" s="226"/>
    </row>
    <row r="634" spans="10:10" ht="13">
      <c r="J634" s="226"/>
    </row>
    <row r="635" spans="10:10" ht="13">
      <c r="J635" s="226"/>
    </row>
    <row r="636" spans="10:10" ht="13">
      <c r="J636" s="226"/>
    </row>
    <row r="637" spans="10:10" ht="13">
      <c r="J637" s="226"/>
    </row>
    <row r="638" spans="10:10" ht="13">
      <c r="J638" s="226"/>
    </row>
    <row r="639" spans="10:10" ht="13">
      <c r="J639" s="226"/>
    </row>
    <row r="640" spans="10:10" ht="13">
      <c r="J640" s="226"/>
    </row>
    <row r="641" spans="10:10" ht="13">
      <c r="J641" s="226"/>
    </row>
    <row r="642" spans="10:10" ht="13">
      <c r="J642" s="226"/>
    </row>
    <row r="643" spans="10:10" ht="13">
      <c r="J643" s="226"/>
    </row>
    <row r="644" spans="10:10" ht="13">
      <c r="J644" s="226"/>
    </row>
    <row r="645" spans="10:10" ht="13">
      <c r="J645" s="226"/>
    </row>
    <row r="646" spans="10:10" ht="13">
      <c r="J646" s="226"/>
    </row>
    <row r="647" spans="10:10" ht="13">
      <c r="J647" s="226"/>
    </row>
    <row r="648" spans="10:10" ht="13">
      <c r="J648" s="226"/>
    </row>
    <row r="649" spans="10:10" ht="13">
      <c r="J649" s="226"/>
    </row>
    <row r="650" spans="10:10" ht="13">
      <c r="J650" s="226"/>
    </row>
    <row r="651" spans="10:10" ht="13">
      <c r="J651" s="226"/>
    </row>
    <row r="652" spans="10:10" ht="13">
      <c r="J652" s="226"/>
    </row>
    <row r="653" spans="10:10" ht="13">
      <c r="J653" s="226"/>
    </row>
    <row r="654" spans="10:10" ht="13">
      <c r="J654" s="226"/>
    </row>
    <row r="655" spans="10:10" ht="13">
      <c r="J655" s="226"/>
    </row>
    <row r="656" spans="10:10" ht="13">
      <c r="J656" s="226"/>
    </row>
    <row r="657" spans="10:10" ht="13">
      <c r="J657" s="226"/>
    </row>
    <row r="658" spans="10:10" ht="13">
      <c r="J658" s="226"/>
    </row>
    <row r="659" spans="10:10" ht="13">
      <c r="J659" s="226"/>
    </row>
    <row r="660" spans="10:10" ht="13">
      <c r="J660" s="226"/>
    </row>
    <row r="661" spans="10:10" ht="13">
      <c r="J661" s="226"/>
    </row>
    <row r="662" spans="10:10" ht="13">
      <c r="J662" s="226"/>
    </row>
    <row r="663" spans="10:10" ht="13">
      <c r="J663" s="226"/>
    </row>
    <row r="664" spans="10:10" ht="13">
      <c r="J664" s="226"/>
    </row>
    <row r="665" spans="10:10" ht="13">
      <c r="J665" s="226"/>
    </row>
    <row r="666" spans="10:10" ht="13">
      <c r="J666" s="226"/>
    </row>
    <row r="667" spans="10:10" ht="13">
      <c r="J667" s="226"/>
    </row>
    <row r="668" spans="10:10" ht="13">
      <c r="J668" s="226"/>
    </row>
    <row r="669" spans="10:10" ht="13">
      <c r="J669" s="226"/>
    </row>
    <row r="670" spans="10:10" ht="13">
      <c r="J670" s="226"/>
    </row>
    <row r="671" spans="10:10" ht="13">
      <c r="J671" s="226"/>
    </row>
    <row r="672" spans="10:10" ht="13">
      <c r="J672" s="226"/>
    </row>
    <row r="673" spans="10:10" ht="13">
      <c r="J673" s="226"/>
    </row>
    <row r="674" spans="10:10" ht="13">
      <c r="J674" s="226"/>
    </row>
    <row r="675" spans="10:10" ht="13">
      <c r="J675" s="226"/>
    </row>
    <row r="676" spans="10:10" ht="13">
      <c r="J676" s="226"/>
    </row>
    <row r="677" spans="10:10" ht="13">
      <c r="J677" s="226"/>
    </row>
    <row r="678" spans="10:10" ht="13">
      <c r="J678" s="226"/>
    </row>
    <row r="679" spans="10:10" ht="13">
      <c r="J679" s="226"/>
    </row>
    <row r="680" spans="10:10" ht="13">
      <c r="J680" s="226"/>
    </row>
    <row r="681" spans="10:10" ht="13">
      <c r="J681" s="226"/>
    </row>
    <row r="682" spans="10:10" ht="13">
      <c r="J682" s="226"/>
    </row>
    <row r="683" spans="10:10" ht="13">
      <c r="J683" s="226"/>
    </row>
    <row r="684" spans="10:10" ht="13">
      <c r="J684" s="226"/>
    </row>
    <row r="685" spans="10:10" ht="13">
      <c r="J685" s="226"/>
    </row>
    <row r="686" spans="10:10" ht="13">
      <c r="J686" s="226"/>
    </row>
    <row r="687" spans="10:10" ht="13">
      <c r="J687" s="226"/>
    </row>
    <row r="688" spans="10:10" ht="13">
      <c r="J688" s="226"/>
    </row>
    <row r="689" spans="10:10" ht="13">
      <c r="J689" s="226"/>
    </row>
    <row r="690" spans="10:10" ht="13">
      <c r="J690" s="226"/>
    </row>
    <row r="691" spans="10:10" ht="13">
      <c r="J691" s="226"/>
    </row>
    <row r="692" spans="10:10" ht="13">
      <c r="J692" s="226"/>
    </row>
    <row r="693" spans="10:10" ht="13">
      <c r="J693" s="226"/>
    </row>
    <row r="694" spans="10:10" ht="13">
      <c r="J694" s="226"/>
    </row>
    <row r="695" spans="10:10" ht="13">
      <c r="J695" s="226"/>
    </row>
    <row r="696" spans="10:10" ht="13">
      <c r="J696" s="226"/>
    </row>
    <row r="697" spans="10:10" ht="13">
      <c r="J697" s="226"/>
    </row>
    <row r="698" spans="10:10" ht="13">
      <c r="J698" s="226"/>
    </row>
    <row r="699" spans="10:10" ht="13">
      <c r="J699" s="226"/>
    </row>
    <row r="700" spans="10:10" ht="13">
      <c r="J700" s="226"/>
    </row>
    <row r="701" spans="10:10" ht="13">
      <c r="J701" s="226"/>
    </row>
    <row r="702" spans="10:10" ht="13">
      <c r="J702" s="226"/>
    </row>
    <row r="703" spans="10:10" ht="13">
      <c r="J703" s="226"/>
    </row>
    <row r="704" spans="10:10" ht="13">
      <c r="J704" s="226"/>
    </row>
    <row r="705" spans="10:10" ht="13">
      <c r="J705" s="226"/>
    </row>
    <row r="706" spans="10:10" ht="13">
      <c r="J706" s="226"/>
    </row>
    <row r="707" spans="10:10" ht="13">
      <c r="J707" s="226"/>
    </row>
    <row r="708" spans="10:10" ht="13">
      <c r="J708" s="226"/>
    </row>
    <row r="709" spans="10:10" ht="13">
      <c r="J709" s="226"/>
    </row>
    <row r="710" spans="10:10" ht="13">
      <c r="J710" s="226"/>
    </row>
    <row r="711" spans="10:10" ht="13">
      <c r="J711" s="226"/>
    </row>
    <row r="712" spans="10:10" ht="13">
      <c r="J712" s="226"/>
    </row>
    <row r="713" spans="10:10" ht="13">
      <c r="J713" s="226"/>
    </row>
    <row r="714" spans="10:10" ht="13">
      <c r="J714" s="226"/>
    </row>
    <row r="715" spans="10:10" ht="13">
      <c r="J715" s="226"/>
    </row>
    <row r="716" spans="10:10" ht="13">
      <c r="J716" s="226"/>
    </row>
    <row r="717" spans="10:10" ht="13">
      <c r="J717" s="226"/>
    </row>
    <row r="718" spans="10:10" ht="13">
      <c r="J718" s="226"/>
    </row>
    <row r="719" spans="10:10" ht="13">
      <c r="J719" s="226"/>
    </row>
    <row r="720" spans="10:10" ht="13">
      <c r="J720" s="226"/>
    </row>
    <row r="721" spans="10:10" ht="13">
      <c r="J721" s="226"/>
    </row>
    <row r="722" spans="10:10" ht="13">
      <c r="J722" s="226"/>
    </row>
    <row r="723" spans="10:10" ht="13">
      <c r="J723" s="226"/>
    </row>
    <row r="724" spans="10:10" ht="13">
      <c r="J724" s="226"/>
    </row>
    <row r="725" spans="10:10" ht="13">
      <c r="J725" s="226"/>
    </row>
    <row r="726" spans="10:10" ht="13">
      <c r="J726" s="226"/>
    </row>
    <row r="727" spans="10:10" ht="13">
      <c r="J727" s="226"/>
    </row>
    <row r="728" spans="10:10" ht="13">
      <c r="J728" s="226"/>
    </row>
    <row r="729" spans="10:10" ht="13">
      <c r="J729" s="226"/>
    </row>
    <row r="730" spans="10:10" ht="13">
      <c r="J730" s="226"/>
    </row>
    <row r="731" spans="10:10" ht="13">
      <c r="J731" s="226"/>
    </row>
    <row r="732" spans="10:10" ht="13">
      <c r="J732" s="226"/>
    </row>
    <row r="733" spans="10:10" ht="13">
      <c r="J733" s="226"/>
    </row>
    <row r="734" spans="10:10" ht="13">
      <c r="J734" s="226"/>
    </row>
    <row r="735" spans="10:10" ht="13">
      <c r="J735" s="226"/>
    </row>
    <row r="736" spans="10:10" ht="13">
      <c r="J736" s="226"/>
    </row>
    <row r="737" spans="10:10" ht="13">
      <c r="J737" s="226"/>
    </row>
    <row r="738" spans="10:10" ht="13">
      <c r="J738" s="226"/>
    </row>
    <row r="739" spans="10:10" ht="13">
      <c r="J739" s="226"/>
    </row>
    <row r="740" spans="10:10" ht="13">
      <c r="J740" s="226"/>
    </row>
    <row r="741" spans="10:10" ht="13">
      <c r="J741" s="226"/>
    </row>
    <row r="742" spans="10:10" ht="13">
      <c r="J742" s="226"/>
    </row>
    <row r="743" spans="10:10" ht="13">
      <c r="J743" s="226"/>
    </row>
    <row r="744" spans="10:10" ht="13">
      <c r="J744" s="226"/>
    </row>
    <row r="745" spans="10:10" ht="13">
      <c r="J745" s="226"/>
    </row>
    <row r="746" spans="10:10" ht="13">
      <c r="J746" s="226"/>
    </row>
    <row r="747" spans="10:10" ht="13">
      <c r="J747" s="226"/>
    </row>
    <row r="748" spans="10:10" ht="13">
      <c r="J748" s="226"/>
    </row>
    <row r="749" spans="10:10" ht="13">
      <c r="J749" s="226"/>
    </row>
    <row r="750" spans="10:10" ht="13">
      <c r="J750" s="226"/>
    </row>
    <row r="751" spans="10:10" ht="13">
      <c r="J751" s="226"/>
    </row>
    <row r="752" spans="10:10" ht="13">
      <c r="J752" s="226"/>
    </row>
    <row r="753" spans="10:10" ht="13">
      <c r="J753" s="226"/>
    </row>
    <row r="754" spans="10:10" ht="13">
      <c r="J754" s="226"/>
    </row>
    <row r="755" spans="10:10" ht="13">
      <c r="J755" s="226"/>
    </row>
    <row r="756" spans="10:10" ht="13">
      <c r="J756" s="226"/>
    </row>
    <row r="757" spans="10:10" ht="13">
      <c r="J757" s="226"/>
    </row>
    <row r="758" spans="10:10" ht="13">
      <c r="J758" s="226"/>
    </row>
    <row r="759" spans="10:10" ht="13">
      <c r="J759" s="226"/>
    </row>
    <row r="760" spans="10:10" ht="13">
      <c r="J760" s="226"/>
    </row>
    <row r="761" spans="10:10" ht="13">
      <c r="J761" s="226"/>
    </row>
    <row r="762" spans="10:10" ht="13">
      <c r="J762" s="226"/>
    </row>
    <row r="763" spans="10:10" ht="13">
      <c r="J763" s="226"/>
    </row>
    <row r="764" spans="10:10" ht="13">
      <c r="J764" s="226"/>
    </row>
    <row r="765" spans="10:10" ht="13">
      <c r="J765" s="226"/>
    </row>
    <row r="766" spans="10:10" ht="13">
      <c r="J766" s="226"/>
    </row>
    <row r="767" spans="10:10" ht="13">
      <c r="J767" s="226"/>
    </row>
    <row r="768" spans="10:10" ht="13">
      <c r="J768" s="226"/>
    </row>
    <row r="769" spans="10:10" ht="13">
      <c r="J769" s="226"/>
    </row>
    <row r="770" spans="10:10" ht="13">
      <c r="J770" s="226"/>
    </row>
    <row r="771" spans="10:10" ht="13">
      <c r="J771" s="226"/>
    </row>
    <row r="772" spans="10:10" ht="13">
      <c r="J772" s="226"/>
    </row>
    <row r="773" spans="10:10" ht="13">
      <c r="J773" s="226"/>
    </row>
    <row r="774" spans="10:10" ht="13">
      <c r="J774" s="226"/>
    </row>
    <row r="775" spans="10:10" ht="13">
      <c r="J775" s="226"/>
    </row>
    <row r="776" spans="10:10" ht="13">
      <c r="J776" s="226"/>
    </row>
    <row r="777" spans="10:10" ht="13">
      <c r="J777" s="226"/>
    </row>
    <row r="778" spans="10:10" ht="13">
      <c r="J778" s="226"/>
    </row>
    <row r="779" spans="10:10" ht="13">
      <c r="J779" s="226"/>
    </row>
    <row r="780" spans="10:10" ht="13">
      <c r="J780" s="226"/>
    </row>
    <row r="781" spans="10:10" ht="13">
      <c r="J781" s="226"/>
    </row>
    <row r="782" spans="10:10" ht="13">
      <c r="J782" s="226"/>
    </row>
    <row r="783" spans="10:10" ht="13">
      <c r="J783" s="226"/>
    </row>
    <row r="784" spans="10:10" ht="13">
      <c r="J784" s="226"/>
    </row>
    <row r="785" spans="10:10" ht="13">
      <c r="J785" s="226"/>
    </row>
    <row r="786" spans="10:10" ht="13">
      <c r="J786" s="226"/>
    </row>
    <row r="787" spans="10:10" ht="13">
      <c r="J787" s="226"/>
    </row>
    <row r="788" spans="10:10" ht="13">
      <c r="J788" s="226"/>
    </row>
    <row r="789" spans="10:10" ht="13">
      <c r="J789" s="226"/>
    </row>
    <row r="790" spans="10:10" ht="13">
      <c r="J790" s="226"/>
    </row>
    <row r="791" spans="10:10" ht="13">
      <c r="J791" s="226"/>
    </row>
    <row r="792" spans="10:10" ht="13">
      <c r="J792" s="226"/>
    </row>
    <row r="793" spans="10:10" ht="13">
      <c r="J793" s="226"/>
    </row>
    <row r="794" spans="10:10" ht="13">
      <c r="J794" s="226"/>
    </row>
    <row r="795" spans="10:10" ht="13">
      <c r="J795" s="226"/>
    </row>
    <row r="796" spans="10:10" ht="13">
      <c r="J796" s="226"/>
    </row>
    <row r="797" spans="10:10" ht="13">
      <c r="J797" s="226"/>
    </row>
    <row r="798" spans="10:10" ht="13">
      <c r="J798" s="226"/>
    </row>
    <row r="799" spans="10:10" ht="13">
      <c r="J799" s="226"/>
    </row>
    <row r="800" spans="10:10" ht="13">
      <c r="J800" s="226"/>
    </row>
    <row r="801" spans="10:10" ht="13">
      <c r="J801" s="226"/>
    </row>
    <row r="802" spans="10:10" ht="13">
      <c r="J802" s="226"/>
    </row>
    <row r="803" spans="10:10" ht="13">
      <c r="J803" s="226"/>
    </row>
    <row r="804" spans="10:10" ht="13">
      <c r="J804" s="226"/>
    </row>
    <row r="805" spans="10:10" ht="13">
      <c r="J805" s="226"/>
    </row>
    <row r="806" spans="10:10" ht="13">
      <c r="J806" s="226"/>
    </row>
    <row r="807" spans="10:10" ht="13">
      <c r="J807" s="226"/>
    </row>
    <row r="808" spans="10:10" ht="13">
      <c r="J808" s="226"/>
    </row>
    <row r="809" spans="10:10" ht="13">
      <c r="J809" s="226"/>
    </row>
    <row r="810" spans="10:10" ht="13">
      <c r="J810" s="226"/>
    </row>
    <row r="811" spans="10:10" ht="13">
      <c r="J811" s="226"/>
    </row>
    <row r="812" spans="10:10" ht="13">
      <c r="J812" s="226"/>
    </row>
    <row r="813" spans="10:10" ht="13">
      <c r="J813" s="226"/>
    </row>
    <row r="814" spans="10:10" ht="13">
      <c r="J814" s="226"/>
    </row>
    <row r="815" spans="10:10" ht="13">
      <c r="J815" s="226"/>
    </row>
    <row r="816" spans="10:10" ht="13">
      <c r="J816" s="226"/>
    </row>
    <row r="817" spans="10:10" ht="13">
      <c r="J817" s="226"/>
    </row>
    <row r="818" spans="10:10" ht="13">
      <c r="J818" s="226"/>
    </row>
    <row r="819" spans="10:10" ht="13">
      <c r="J819" s="226"/>
    </row>
    <row r="820" spans="10:10" ht="13">
      <c r="J820" s="226"/>
    </row>
    <row r="821" spans="10:10" ht="13">
      <c r="J821" s="226"/>
    </row>
    <row r="822" spans="10:10" ht="13">
      <c r="J822" s="226"/>
    </row>
    <row r="823" spans="10:10" ht="13">
      <c r="J823" s="226"/>
    </row>
    <row r="824" spans="10:10" ht="13">
      <c r="J824" s="226"/>
    </row>
    <row r="825" spans="10:10" ht="13">
      <c r="J825" s="226"/>
    </row>
    <row r="826" spans="10:10" ht="13">
      <c r="J826" s="226"/>
    </row>
    <row r="827" spans="10:10" ht="13">
      <c r="J827" s="226"/>
    </row>
    <row r="828" spans="10:10" ht="13">
      <c r="J828" s="226"/>
    </row>
    <row r="829" spans="10:10" ht="13">
      <c r="J829" s="226"/>
    </row>
    <row r="830" spans="10:10" ht="13">
      <c r="J830" s="226"/>
    </row>
    <row r="831" spans="10:10" ht="13">
      <c r="J831" s="226"/>
    </row>
    <row r="832" spans="10:10" ht="13">
      <c r="J832" s="226"/>
    </row>
    <row r="833" spans="10:10" ht="13">
      <c r="J833" s="226"/>
    </row>
    <row r="834" spans="10:10" ht="13">
      <c r="J834" s="226"/>
    </row>
    <row r="835" spans="10:10" ht="13">
      <c r="J835" s="226"/>
    </row>
    <row r="836" spans="10:10" ht="13">
      <c r="J836" s="226"/>
    </row>
    <row r="837" spans="10:10" ht="13">
      <c r="J837" s="226"/>
    </row>
    <row r="838" spans="10:10" ht="13">
      <c r="J838" s="226"/>
    </row>
    <row r="839" spans="10:10" ht="13">
      <c r="J839" s="226"/>
    </row>
    <row r="840" spans="10:10" ht="13">
      <c r="J840" s="226"/>
    </row>
    <row r="841" spans="10:10" ht="13">
      <c r="J841" s="226"/>
    </row>
    <row r="842" spans="10:10" ht="13">
      <c r="J842" s="226"/>
    </row>
    <row r="843" spans="10:10" ht="13">
      <c r="J843" s="226"/>
    </row>
    <row r="844" spans="10:10" ht="13">
      <c r="J844" s="226"/>
    </row>
    <row r="845" spans="10:10" ht="13">
      <c r="J845" s="226"/>
    </row>
    <row r="846" spans="10:10" ht="13">
      <c r="J846" s="226"/>
    </row>
    <row r="847" spans="10:10" ht="13">
      <c r="J847" s="226"/>
    </row>
    <row r="848" spans="10:10" ht="13">
      <c r="J848" s="226"/>
    </row>
    <row r="849" spans="10:10" ht="13">
      <c r="J849" s="226"/>
    </row>
    <row r="850" spans="10:10" ht="13">
      <c r="J850" s="226"/>
    </row>
    <row r="851" spans="10:10" ht="13">
      <c r="J851" s="226"/>
    </row>
    <row r="852" spans="10:10" ht="13">
      <c r="J852" s="226"/>
    </row>
    <row r="853" spans="10:10" ht="13">
      <c r="J853" s="226"/>
    </row>
    <row r="854" spans="10:10" ht="13">
      <c r="J854" s="226"/>
    </row>
    <row r="855" spans="10:10" ht="13">
      <c r="J855" s="226"/>
    </row>
    <row r="856" spans="10:10" ht="13">
      <c r="J856" s="226"/>
    </row>
    <row r="857" spans="10:10" ht="13">
      <c r="J857" s="226"/>
    </row>
    <row r="858" spans="10:10" ht="13">
      <c r="J858" s="226"/>
    </row>
    <row r="859" spans="10:10" ht="13">
      <c r="J859" s="226"/>
    </row>
    <row r="860" spans="10:10" ht="13">
      <c r="J860" s="226"/>
    </row>
    <row r="861" spans="10:10" ht="13">
      <c r="J861" s="226"/>
    </row>
    <row r="862" spans="10:10" ht="13">
      <c r="J862" s="226"/>
    </row>
    <row r="863" spans="10:10" ht="13">
      <c r="J863" s="226"/>
    </row>
    <row r="864" spans="10:10" ht="13">
      <c r="J864" s="226"/>
    </row>
    <row r="865" spans="10:10" ht="13">
      <c r="J865" s="226"/>
    </row>
    <row r="866" spans="10:10" ht="13">
      <c r="J866" s="226"/>
    </row>
    <row r="867" spans="10:10" ht="13">
      <c r="J867" s="226"/>
    </row>
    <row r="868" spans="10:10" ht="13">
      <c r="J868" s="226"/>
    </row>
    <row r="869" spans="10:10" ht="13">
      <c r="J869" s="226"/>
    </row>
    <row r="870" spans="10:10" ht="13">
      <c r="J870" s="226"/>
    </row>
    <row r="871" spans="10:10" ht="13">
      <c r="J871" s="226"/>
    </row>
    <row r="872" spans="10:10" ht="13">
      <c r="J872" s="226"/>
    </row>
    <row r="873" spans="10:10" ht="13">
      <c r="J873" s="226"/>
    </row>
    <row r="874" spans="10:10" ht="13">
      <c r="J874" s="226"/>
    </row>
    <row r="875" spans="10:10" ht="13">
      <c r="J875" s="226"/>
    </row>
    <row r="876" spans="10:10" ht="13">
      <c r="J876" s="226"/>
    </row>
    <row r="877" spans="10:10" ht="13">
      <c r="J877" s="226"/>
    </row>
    <row r="878" spans="10:10" ht="13">
      <c r="J878" s="226"/>
    </row>
    <row r="879" spans="10:10" ht="13">
      <c r="J879" s="226"/>
    </row>
    <row r="880" spans="10:10" ht="13">
      <c r="J880" s="226"/>
    </row>
    <row r="881" spans="10:10" ht="13">
      <c r="J881" s="226"/>
    </row>
    <row r="882" spans="10:10" ht="13">
      <c r="J882" s="226"/>
    </row>
    <row r="883" spans="10:10" ht="13">
      <c r="J883" s="226"/>
    </row>
    <row r="884" spans="10:10" ht="13">
      <c r="J884" s="226"/>
    </row>
    <row r="885" spans="10:10" ht="13">
      <c r="J885" s="226"/>
    </row>
    <row r="886" spans="10:10" ht="13">
      <c r="J886" s="226"/>
    </row>
    <row r="887" spans="10:10" ht="13">
      <c r="J887" s="226"/>
    </row>
    <row r="888" spans="10:10" ht="13">
      <c r="J888" s="226"/>
    </row>
    <row r="889" spans="10:10" ht="13">
      <c r="J889" s="226"/>
    </row>
    <row r="890" spans="10:10" ht="13">
      <c r="J890" s="226"/>
    </row>
    <row r="891" spans="10:10" ht="13">
      <c r="J891" s="226"/>
    </row>
    <row r="892" spans="10:10" ht="13">
      <c r="J892" s="226"/>
    </row>
    <row r="893" spans="10:10" ht="13">
      <c r="J893" s="226"/>
    </row>
    <row r="894" spans="10:10" ht="13">
      <c r="J894" s="226"/>
    </row>
    <row r="895" spans="10:10" ht="13">
      <c r="J895" s="226"/>
    </row>
    <row r="896" spans="10:10" ht="13">
      <c r="J896" s="226"/>
    </row>
    <row r="897" spans="10:10" ht="13">
      <c r="J897" s="226"/>
    </row>
    <row r="898" spans="10:10" ht="13">
      <c r="J898" s="226"/>
    </row>
    <row r="899" spans="10:10" ht="13">
      <c r="J899" s="226"/>
    </row>
    <row r="900" spans="10:10" ht="13">
      <c r="J900" s="226"/>
    </row>
    <row r="901" spans="10:10" ht="13">
      <c r="J901" s="226"/>
    </row>
    <row r="902" spans="10:10" ht="13">
      <c r="J902" s="226"/>
    </row>
    <row r="903" spans="10:10" ht="13">
      <c r="J903" s="226"/>
    </row>
    <row r="904" spans="10:10" ht="13">
      <c r="J904" s="226"/>
    </row>
    <row r="905" spans="10:10" ht="13">
      <c r="J905" s="226"/>
    </row>
    <row r="906" spans="10:10" ht="13">
      <c r="J906" s="226"/>
    </row>
    <row r="907" spans="10:10" ht="13">
      <c r="J907" s="226"/>
    </row>
    <row r="908" spans="10:10" ht="13">
      <c r="J908" s="226"/>
    </row>
    <row r="909" spans="10:10" ht="13">
      <c r="J909" s="226"/>
    </row>
    <row r="910" spans="10:10" ht="13">
      <c r="J910" s="226"/>
    </row>
    <row r="911" spans="10:10" ht="13">
      <c r="J911" s="226"/>
    </row>
    <row r="912" spans="10:10" ht="13">
      <c r="J912" s="226"/>
    </row>
    <row r="913" spans="10:10" ht="13">
      <c r="J913" s="226"/>
    </row>
    <row r="914" spans="10:10" ht="13">
      <c r="J914" s="226"/>
    </row>
    <row r="915" spans="10:10" ht="13">
      <c r="J915" s="226"/>
    </row>
    <row r="916" spans="10:10" ht="13">
      <c r="J916" s="226"/>
    </row>
    <row r="917" spans="10:10" ht="13">
      <c r="J917" s="226"/>
    </row>
    <row r="918" spans="10:10" ht="13">
      <c r="J918" s="226"/>
    </row>
    <row r="919" spans="10:10" ht="13">
      <c r="J919" s="226"/>
    </row>
    <row r="920" spans="10:10" ht="13">
      <c r="J920" s="226"/>
    </row>
    <row r="921" spans="10:10" ht="13">
      <c r="J921" s="226"/>
    </row>
    <row r="922" spans="10:10" ht="13">
      <c r="J922" s="226"/>
    </row>
    <row r="923" spans="10:10" ht="13">
      <c r="J923" s="226"/>
    </row>
    <row r="924" spans="10:10" ht="13">
      <c r="J924" s="226"/>
    </row>
    <row r="925" spans="10:10" ht="13">
      <c r="J925" s="226"/>
    </row>
    <row r="926" spans="10:10" ht="13">
      <c r="J926" s="226"/>
    </row>
    <row r="927" spans="10:10" ht="13">
      <c r="J927" s="226"/>
    </row>
    <row r="928" spans="10:10" ht="13">
      <c r="J928" s="226"/>
    </row>
    <row r="929" spans="10:10" ht="13">
      <c r="J929" s="226"/>
    </row>
    <row r="930" spans="10:10" ht="13">
      <c r="J930" s="226"/>
    </row>
    <row r="931" spans="10:10" ht="13">
      <c r="J931" s="226"/>
    </row>
    <row r="932" spans="10:10" ht="13">
      <c r="J932" s="226"/>
    </row>
    <row r="933" spans="10:10" ht="13">
      <c r="J933" s="226"/>
    </row>
    <row r="934" spans="10:10" ht="13">
      <c r="J934" s="226"/>
    </row>
    <row r="935" spans="10:10" ht="13">
      <c r="J935" s="226"/>
    </row>
    <row r="936" spans="10:10" ht="13">
      <c r="J936" s="226"/>
    </row>
    <row r="937" spans="10:10" ht="13">
      <c r="J937" s="226"/>
    </row>
    <row r="938" spans="10:10" ht="13">
      <c r="J938" s="226"/>
    </row>
    <row r="939" spans="10:10" ht="13">
      <c r="J939" s="226"/>
    </row>
    <row r="940" spans="10:10" ht="13">
      <c r="J940" s="226"/>
    </row>
    <row r="941" spans="10:10" ht="13">
      <c r="J941" s="226"/>
    </row>
    <row r="942" spans="10:10" ht="13">
      <c r="J942" s="226"/>
    </row>
    <row r="943" spans="10:10" ht="13">
      <c r="J943" s="226"/>
    </row>
    <row r="944" spans="10:10" ht="13">
      <c r="J944" s="226"/>
    </row>
    <row r="945" spans="10:10" ht="13">
      <c r="J945" s="226"/>
    </row>
    <row r="946" spans="10:10" ht="13">
      <c r="J946" s="226"/>
    </row>
    <row r="947" spans="10:10" ht="13">
      <c r="J947" s="226"/>
    </row>
    <row r="948" spans="10:10" ht="13">
      <c r="J948" s="226"/>
    </row>
    <row r="949" spans="10:10" ht="13">
      <c r="J949" s="226"/>
    </row>
    <row r="950" spans="10:10" ht="13">
      <c r="J950" s="226"/>
    </row>
    <row r="951" spans="10:10" ht="13">
      <c r="J951" s="226"/>
    </row>
    <row r="952" spans="10:10" ht="13">
      <c r="J952" s="226"/>
    </row>
    <row r="953" spans="10:10" ht="13">
      <c r="J953" s="226"/>
    </row>
    <row r="954" spans="10:10" ht="13">
      <c r="J954" s="226"/>
    </row>
    <row r="955" spans="10:10" ht="13">
      <c r="J955" s="226"/>
    </row>
    <row r="956" spans="10:10" ht="13">
      <c r="J956" s="226"/>
    </row>
    <row r="957" spans="10:10" ht="13">
      <c r="J957" s="226"/>
    </row>
    <row r="958" spans="10:10" ht="13">
      <c r="J958" s="226"/>
    </row>
    <row r="959" spans="10:10" ht="13">
      <c r="J959" s="226"/>
    </row>
    <row r="960" spans="10:10" ht="13">
      <c r="J960" s="226"/>
    </row>
    <row r="961" spans="10:10" ht="13">
      <c r="J961" s="226"/>
    </row>
    <row r="962" spans="10:10" ht="13">
      <c r="J962" s="226"/>
    </row>
    <row r="963" spans="10:10" ht="13">
      <c r="J963" s="226"/>
    </row>
    <row r="964" spans="10:10" ht="13">
      <c r="J964" s="226"/>
    </row>
    <row r="965" spans="10:10" ht="13">
      <c r="J965" s="226"/>
    </row>
    <row r="966" spans="10:10" ht="13">
      <c r="J966" s="226"/>
    </row>
    <row r="967" spans="10:10" ht="13">
      <c r="J967" s="226"/>
    </row>
    <row r="968" spans="10:10" ht="13">
      <c r="J968" s="226"/>
    </row>
    <row r="969" spans="10:10" ht="13">
      <c r="J969" s="226"/>
    </row>
    <row r="970" spans="10:10" ht="13">
      <c r="J970" s="226"/>
    </row>
    <row r="971" spans="10:10" ht="13">
      <c r="J971" s="226"/>
    </row>
    <row r="972" spans="10:10" ht="13">
      <c r="J972" s="226"/>
    </row>
    <row r="973" spans="10:10" ht="13">
      <c r="J973" s="226"/>
    </row>
    <row r="974" spans="10:10" ht="13">
      <c r="J974" s="226"/>
    </row>
    <row r="975" spans="10:10" ht="13">
      <c r="J975" s="226"/>
    </row>
    <row r="976" spans="10:10" ht="13">
      <c r="J976" s="226"/>
    </row>
    <row r="977" spans="10:10" ht="13">
      <c r="J977" s="226"/>
    </row>
    <row r="978" spans="10:10" ht="13">
      <c r="J978" s="226"/>
    </row>
    <row r="979" spans="10:10" ht="13">
      <c r="J979" s="226"/>
    </row>
    <row r="980" spans="10:10" ht="13">
      <c r="J980" s="226"/>
    </row>
    <row r="981" spans="10:10" ht="13">
      <c r="J981" s="226"/>
    </row>
    <row r="982" spans="10:10" ht="13">
      <c r="J982" s="226"/>
    </row>
    <row r="983" spans="10:10" ht="13">
      <c r="J983" s="226"/>
    </row>
    <row r="984" spans="10:10" ht="13">
      <c r="J984" s="226"/>
    </row>
    <row r="985" spans="10:10" ht="13">
      <c r="J985" s="226"/>
    </row>
    <row r="986" spans="10:10" ht="13">
      <c r="J986" s="226"/>
    </row>
    <row r="987" spans="10:10" ht="13">
      <c r="J987" s="226"/>
    </row>
    <row r="988" spans="10:10" ht="13">
      <c r="J988" s="226"/>
    </row>
    <row r="989" spans="10:10" ht="13">
      <c r="J989" s="226"/>
    </row>
    <row r="990" spans="10:10" ht="13">
      <c r="J990" s="226"/>
    </row>
    <row r="991" spans="10:10" ht="13">
      <c r="J991" s="226"/>
    </row>
    <row r="992" spans="10:10" ht="13">
      <c r="J992" s="226"/>
    </row>
    <row r="993" spans="10:10" ht="13">
      <c r="J993" s="226"/>
    </row>
    <row r="994" spans="10:10" ht="13">
      <c r="J994" s="226"/>
    </row>
    <row r="995" spans="10:10" ht="13">
      <c r="J995" s="226"/>
    </row>
    <row r="996" spans="10:10" ht="13">
      <c r="J996" s="226"/>
    </row>
    <row r="997" spans="10:10" ht="13">
      <c r="J997" s="226"/>
    </row>
    <row r="998" spans="10:10" ht="13">
      <c r="J998" s="226"/>
    </row>
    <row r="999" spans="10:10" ht="13">
      <c r="J999" s="226"/>
    </row>
    <row r="1000" spans="10:10" ht="13">
      <c r="J1000" s="226"/>
    </row>
    <row r="1001" spans="10:10" ht="13">
      <c r="J1001" s="226"/>
    </row>
    <row r="1002" spans="10:10" ht="13">
      <c r="J1002" s="226"/>
    </row>
    <row r="1003" spans="10:10" ht="13">
      <c r="J1003" s="226"/>
    </row>
    <row r="1004" spans="10:10" ht="13">
      <c r="J1004" s="226"/>
    </row>
    <row r="1005" spans="10:10" ht="13">
      <c r="J1005" s="226"/>
    </row>
    <row r="1006" spans="10:10" ht="13">
      <c r="J1006" s="226"/>
    </row>
    <row r="1007" spans="10:10" ht="13">
      <c r="J1007" s="226"/>
    </row>
    <row r="1008" spans="10:10" ht="13">
      <c r="J1008" s="226"/>
    </row>
    <row r="1009" spans="10:10" ht="13">
      <c r="J1009" s="226"/>
    </row>
    <row r="1010" spans="10:10" ht="13">
      <c r="J1010" s="226"/>
    </row>
    <row r="1011" spans="10:10" ht="13">
      <c r="J1011" s="226"/>
    </row>
    <row r="1012" spans="10:10" ht="13">
      <c r="J1012" s="226"/>
    </row>
    <row r="1013" spans="10:10" ht="13">
      <c r="J1013" s="226"/>
    </row>
    <row r="1014" spans="10:10" ht="13">
      <c r="J1014" s="226"/>
    </row>
    <row r="1015" spans="10:10" ht="13">
      <c r="J1015" s="226"/>
    </row>
    <row r="1016" spans="10:10" ht="13">
      <c r="J1016" s="226"/>
    </row>
    <row r="1017" spans="10:10" ht="13">
      <c r="J1017" s="226"/>
    </row>
    <row r="1018" spans="10:10" ht="13">
      <c r="J1018" s="226"/>
    </row>
    <row r="1019" spans="10:10" ht="13">
      <c r="J1019" s="226"/>
    </row>
    <row r="1020" spans="10:10" ht="13">
      <c r="J1020" s="226"/>
    </row>
    <row r="1021" spans="10:10" ht="13">
      <c r="J1021" s="226"/>
    </row>
    <row r="1022" spans="10:10" ht="13">
      <c r="J1022" s="226"/>
    </row>
    <row r="1023" spans="10:10" ht="13">
      <c r="J1023" s="226"/>
    </row>
    <row r="1024" spans="10:10" ht="13">
      <c r="J1024" s="226"/>
    </row>
    <row r="1025" spans="10:10" ht="13">
      <c r="J1025" s="226"/>
    </row>
    <row r="1026" spans="10:10" ht="13">
      <c r="J1026" s="226"/>
    </row>
    <row r="1027" spans="10:10" ht="13">
      <c r="J1027" s="226"/>
    </row>
    <row r="1028" spans="10:10" ht="13">
      <c r="J1028" s="226"/>
    </row>
    <row r="1029" spans="10:10" ht="13">
      <c r="J1029" s="226"/>
    </row>
    <row r="1030" spans="10:10" ht="13">
      <c r="J1030" s="226"/>
    </row>
    <row r="1031" spans="10:10" ht="13">
      <c r="J1031" s="226"/>
    </row>
    <row r="1032" spans="10:10" ht="13">
      <c r="J1032" s="226"/>
    </row>
    <row r="1033" spans="10:10" ht="13">
      <c r="J1033" s="226"/>
    </row>
    <row r="1034" spans="10:10" ht="13">
      <c r="J1034" s="226"/>
    </row>
    <row r="1035" spans="10:10" ht="13">
      <c r="J1035" s="226"/>
    </row>
    <row r="1036" spans="10:10" ht="13">
      <c r="J1036" s="226"/>
    </row>
    <row r="1037" spans="10:10" ht="13">
      <c r="J1037" s="226"/>
    </row>
    <row r="1038" spans="10:10" ht="13">
      <c r="J1038" s="226"/>
    </row>
    <row r="1039" spans="10:10" ht="13">
      <c r="J1039" s="226"/>
    </row>
    <row r="1040" spans="10:10" ht="13">
      <c r="J1040" s="226"/>
    </row>
    <row r="1041" spans="10:10" ht="13">
      <c r="J1041" s="226"/>
    </row>
    <row r="1042" spans="10:10" ht="13">
      <c r="J1042" s="226"/>
    </row>
    <row r="1043" spans="10:10" ht="13">
      <c r="J1043" s="226"/>
    </row>
    <row r="1044" spans="10:10" ht="13">
      <c r="J1044" s="226"/>
    </row>
    <row r="1045" spans="10:10" ht="13">
      <c r="J1045" s="226"/>
    </row>
    <row r="1046" spans="10:10" ht="13">
      <c r="J1046" s="226"/>
    </row>
    <row r="1047" spans="10:10" ht="13">
      <c r="J1047" s="226"/>
    </row>
    <row r="1048" spans="10:10" ht="13">
      <c r="J1048" s="226"/>
    </row>
    <row r="1049" spans="10:10" ht="13">
      <c r="J1049" s="226"/>
    </row>
    <row r="1050" spans="10:10" ht="13">
      <c r="J1050" s="226"/>
    </row>
    <row r="1051" spans="10:10" ht="13">
      <c r="J1051" s="226"/>
    </row>
    <row r="1052" spans="10:10" ht="13">
      <c r="J1052" s="226"/>
    </row>
    <row r="1053" spans="10:10" ht="13">
      <c r="J1053" s="226"/>
    </row>
    <row r="1054" spans="10:10" ht="13">
      <c r="J1054" s="226"/>
    </row>
    <row r="1055" spans="10:10" ht="13">
      <c r="J1055" s="226"/>
    </row>
    <row r="1056" spans="10:10" ht="13">
      <c r="J1056" s="226"/>
    </row>
    <row r="1057" spans="10:10" ht="13">
      <c r="J1057" s="226"/>
    </row>
    <row r="1058" spans="10:10" ht="13">
      <c r="J1058" s="226"/>
    </row>
    <row r="1059" spans="10:10" ht="13">
      <c r="J1059" s="226"/>
    </row>
    <row r="1060" spans="10:10" ht="13">
      <c r="J1060" s="226"/>
    </row>
    <row r="1061" spans="10:10" ht="13">
      <c r="J1061" s="226"/>
    </row>
    <row r="1062" spans="10:10" ht="13">
      <c r="J1062" s="226"/>
    </row>
    <row r="1063" spans="10:10" ht="13">
      <c r="J1063" s="226"/>
    </row>
    <row r="1064" spans="10:10" ht="13">
      <c r="J1064" s="226"/>
    </row>
    <row r="1065" spans="10:10" ht="13">
      <c r="J1065" s="226"/>
    </row>
    <row r="1066" spans="10:10" ht="13">
      <c r="J1066" s="226"/>
    </row>
    <row r="1067" spans="10:10" ht="13">
      <c r="J1067" s="226"/>
    </row>
    <row r="1068" spans="10:10" ht="13">
      <c r="J1068" s="226"/>
    </row>
    <row r="1069" spans="10:10" ht="13">
      <c r="J1069" s="226"/>
    </row>
    <row r="1070" spans="10:10" ht="13">
      <c r="J1070" s="226"/>
    </row>
    <row r="1071" spans="10:10" ht="13">
      <c r="J1071" s="226"/>
    </row>
    <row r="1072" spans="10:10" ht="13">
      <c r="J1072" s="226"/>
    </row>
    <row r="1073" spans="10:10" ht="13">
      <c r="J1073" s="226"/>
    </row>
    <row r="1074" spans="10:10" ht="13">
      <c r="J1074" s="226"/>
    </row>
    <row r="1075" spans="10:10" ht="13">
      <c r="J1075" s="226"/>
    </row>
    <row r="1076" spans="10:10" ht="13">
      <c r="J1076" s="226"/>
    </row>
  </sheetData>
  <autoFilter ref="X3:X1076" xr:uid="{00000000-0009-0000-0000-00000D000000}"/>
  <conditionalFormatting sqref="C3:C101">
    <cfRule type="expression" dxfId="64" priority="1">
      <formula>(TODAY()-Q3)&lt;0</formula>
    </cfRule>
  </conditionalFormatting>
  <conditionalFormatting sqref="C3:C101">
    <cfRule type="expression" dxfId="63" priority="2">
      <formula>(TODAY()-Q3)&lt;180</formula>
    </cfRule>
  </conditionalFormatting>
  <conditionalFormatting sqref="D1:D1076">
    <cfRule type="cellIs" dxfId="62" priority="3" operator="between">
      <formula>50</formula>
      <formula>200</formula>
    </cfRule>
  </conditionalFormatting>
  <conditionalFormatting sqref="D1:D1076">
    <cfRule type="cellIs" dxfId="61" priority="4" operator="between">
      <formula>201</formula>
      <formula>400</formula>
    </cfRule>
  </conditionalFormatting>
  <conditionalFormatting sqref="D3:D1071">
    <cfRule type="cellIs" dxfId="60" priority="5" operator="between">
      <formula>401</formula>
      <formula>650</formula>
    </cfRule>
  </conditionalFormatting>
  <conditionalFormatting sqref="D3:D1071">
    <cfRule type="cellIs" dxfId="59" priority="6" operator="between">
      <formula>651</formula>
      <formula>900</formula>
    </cfRule>
  </conditionalFormatting>
  <conditionalFormatting sqref="D3:D1071">
    <cfRule type="cellIs" dxfId="58" priority="7" operator="greaterThan">
      <formula>900</formula>
    </cfRule>
  </conditionalFormatting>
  <conditionalFormatting sqref="M3:M1060 T5:T1071">
    <cfRule type="containsText" dxfId="57" priority="8" operator="containsText" text="yes">
      <formula>NOT(ISERROR(SEARCH(("yes"),(M3))))</formula>
    </cfRule>
  </conditionalFormatting>
  <conditionalFormatting sqref="H1:H1076">
    <cfRule type="colorScale" priority="9">
      <colorScale>
        <cfvo type="min"/>
        <cfvo type="formula" val="150"/>
        <color rgb="FFEAD1DC"/>
        <color rgb="FFA64D79"/>
      </colorScale>
    </cfRule>
  </conditionalFormatting>
  <conditionalFormatting sqref="F3:F84">
    <cfRule type="colorScale" priority="10">
      <colorScale>
        <cfvo type="formula" val="1.2"/>
        <cfvo type="formula" val="4"/>
        <color rgb="FF0B5394"/>
        <color rgb="FFFFFFFF"/>
      </colorScale>
    </cfRule>
  </conditionalFormatting>
  <conditionalFormatting sqref="G3:G84">
    <cfRule type="colorScale" priority="11">
      <colorScale>
        <cfvo type="formula" val="65"/>
        <cfvo type="formula" val="100"/>
        <color rgb="FFD9D2E9"/>
        <color rgb="FF674EA7"/>
      </colorScale>
    </cfRule>
  </conditionalFormatting>
  <conditionalFormatting sqref="F3:F84">
    <cfRule type="containsText" dxfId="56" priority="12" operator="containsText" text="1.2">
      <formula>NOT(ISERROR(SEARCH(("1.2"),(F3))))</formula>
    </cfRule>
  </conditionalFormatting>
  <conditionalFormatting sqref="F12 F14">
    <cfRule type="notContainsBlanks" dxfId="55" priority="13">
      <formula>LEN(TRIM(F12))&gt;0</formula>
    </cfRule>
  </conditionalFormatting>
  <conditionalFormatting sqref="F3:F84">
    <cfRule type="containsText" dxfId="54" priority="14" operator="containsText" text="1.4">
      <formula>NOT(ISERROR(SEARCH(("1.4"),(F3))))</formula>
    </cfRule>
  </conditionalFormatting>
  <conditionalFormatting sqref="F3:F103">
    <cfRule type="containsText" dxfId="53" priority="15" operator="containsText" text="1.8">
      <formula>NOT(ISERROR(SEARCH(("1.8"),(F3))))</formula>
    </cfRule>
  </conditionalFormatting>
  <conditionalFormatting sqref="C5:C102">
    <cfRule type="expression" dxfId="52" priority="16">
      <formula>(TODAY()-V5)&lt;0</formula>
    </cfRule>
  </conditionalFormatting>
  <conditionalFormatting sqref="C5:C102">
    <cfRule type="expression" dxfId="51" priority="17">
      <formula>(TODAY()-V5)&lt;180</formula>
    </cfRule>
  </conditionalFormatting>
  <conditionalFormatting sqref="I3:I114">
    <cfRule type="cellIs" dxfId="50" priority="18" operator="equal">
      <formula>"MF"</formula>
    </cfRule>
  </conditionalFormatting>
  <conditionalFormatting sqref="K3:K114">
    <cfRule type="cellIs" dxfId="49" priority="19" operator="between">
      <formula>0.24</formula>
      <formula>0.45</formula>
    </cfRule>
  </conditionalFormatting>
  <conditionalFormatting sqref="K3:K114">
    <cfRule type="cellIs" dxfId="48" priority="20" operator="between">
      <formula>0.45</formula>
      <formula>0.99</formula>
    </cfRule>
  </conditionalFormatting>
  <conditionalFormatting sqref="K3:K114">
    <cfRule type="cellIs" dxfId="47" priority="21" operator="greaterThan">
      <formula>0.99</formula>
    </cfRule>
  </conditionalFormatting>
  <conditionalFormatting sqref="N5:N84">
    <cfRule type="cellIs" dxfId="46" priority="22" operator="lessThan">
      <formula>"25%"</formula>
    </cfRule>
  </conditionalFormatting>
  <conditionalFormatting sqref="N5:N84">
    <cfRule type="cellIs" dxfId="45" priority="23" operator="between">
      <formula>"25%"</formula>
      <formula>"45%"</formula>
    </cfRule>
  </conditionalFormatting>
  <conditionalFormatting sqref="N5:N84">
    <cfRule type="cellIs" dxfId="44" priority="24" operator="greaterThan">
      <formula>"45%"</formula>
    </cfRule>
  </conditionalFormatting>
  <dataValidations count="1">
    <dataValidation type="list" allowBlank="1" sqref="P3:P83" xr:uid="{00000000-0002-0000-0D00-000000000000}">
      <formula1>"Sony,Voigtlander,Zeiss,Sigma,Samyang,Viltrox,Tokina,Tamron"</formula1>
    </dataValidation>
  </dataValidations>
  <hyperlinks>
    <hyperlink ref="T1" r:id="rId1" xr:uid="{00000000-0004-0000-0D00-000000000000}"/>
    <hyperlink ref="V1" r:id="rId2" xr:uid="{00000000-0004-0000-0D00-000001000000}"/>
    <hyperlink ref="W1" r:id="rId3" xr:uid="{00000000-0004-0000-0D00-000002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A1066"/>
  <sheetViews>
    <sheetView workbookViewId="0">
      <pane ySplit="1" topLeftCell="A2" activePane="bottomLeft" state="frozen"/>
      <selection pane="bottomLeft" activeCell="B3" sqref="B3"/>
    </sheetView>
  </sheetViews>
  <sheetFormatPr baseColWidth="10" defaultColWidth="14.5" defaultRowHeight="15.75" customHeight="1" outlineLevelCol="1"/>
  <cols>
    <col min="1" max="2" width="4" customWidth="1"/>
    <col min="3" max="3" width="29.1640625" customWidth="1"/>
    <col min="4" max="4" width="10.33203125" customWidth="1"/>
    <col min="5" max="5" width="9.5" customWidth="1"/>
    <col min="6" max="6" width="9" customWidth="1"/>
    <col min="7" max="8" width="7.33203125" customWidth="1"/>
    <col min="9" max="9" width="4" customWidth="1"/>
    <col min="10" max="10" width="7.1640625" customWidth="1"/>
    <col min="11" max="11" width="4.5" customWidth="1"/>
    <col min="12" max="13" width="9.5" customWidth="1"/>
    <col min="14" max="16" width="4" hidden="1" customWidth="1"/>
    <col min="17" max="17" width="4" hidden="1" customWidth="1" outlineLevel="1"/>
    <col min="18" max="18" width="7.5" customWidth="1"/>
    <col min="19" max="19" width="5.5" customWidth="1"/>
    <col min="20" max="20" width="5" customWidth="1"/>
    <col min="21" max="21" width="6.1640625" hidden="1" customWidth="1"/>
    <col min="22" max="22" width="13.33203125" customWidth="1"/>
    <col min="23" max="23" width="7.5" customWidth="1"/>
    <col min="24" max="24" width="14.5" hidden="1"/>
  </cols>
  <sheetData>
    <row r="1" spans="1:27" ht="76.5" customHeight="1">
      <c r="A1" s="614"/>
      <c r="B1" s="614"/>
      <c r="C1" s="624" t="s">
        <v>0</v>
      </c>
      <c r="D1" s="2" t="s">
        <v>1</v>
      </c>
      <c r="E1" s="3" t="s">
        <v>2</v>
      </c>
      <c r="F1" s="4" t="s">
        <v>3</v>
      </c>
      <c r="G1" s="5" t="s">
        <v>4</v>
      </c>
      <c r="H1" s="6" t="s">
        <v>5</v>
      </c>
      <c r="I1" s="7" t="s">
        <v>6</v>
      </c>
      <c r="J1" s="8" t="s">
        <v>7</v>
      </c>
      <c r="K1" s="3" t="s">
        <v>8</v>
      </c>
      <c r="L1" s="3" t="s">
        <v>10</v>
      </c>
      <c r="M1" s="5" t="s">
        <v>11</v>
      </c>
      <c r="N1" s="3" t="s">
        <v>12</v>
      </c>
      <c r="O1" s="3" t="s">
        <v>13</v>
      </c>
      <c r="P1" s="3" t="s">
        <v>14</v>
      </c>
      <c r="Q1" s="3" t="s">
        <v>15</v>
      </c>
      <c r="R1" s="9" t="s">
        <v>9</v>
      </c>
      <c r="S1" s="9" t="s">
        <v>16</v>
      </c>
      <c r="T1" s="625" t="s">
        <v>12</v>
      </c>
      <c r="U1" s="625" t="s">
        <v>13</v>
      </c>
      <c r="V1" s="625" t="s">
        <v>14</v>
      </c>
      <c r="W1" s="625" t="s">
        <v>15</v>
      </c>
      <c r="X1" s="13" t="s">
        <v>22</v>
      </c>
    </row>
    <row r="2" spans="1:27" ht="18" customHeight="1">
      <c r="A2" s="14"/>
      <c r="B2" s="14"/>
      <c r="C2" s="626" t="s">
        <v>245</v>
      </c>
      <c r="D2" s="627"/>
      <c r="E2" s="627"/>
      <c r="F2" s="627"/>
      <c r="G2" s="627"/>
      <c r="H2" s="627"/>
      <c r="I2" s="628"/>
      <c r="J2" s="629"/>
      <c r="K2" s="627"/>
      <c r="L2" s="627"/>
      <c r="M2" s="627"/>
      <c r="N2" s="627"/>
      <c r="O2" s="627"/>
      <c r="P2" s="627"/>
      <c r="Q2" s="627"/>
      <c r="R2" s="627"/>
      <c r="S2" s="628"/>
      <c r="T2" s="627"/>
      <c r="U2" s="628"/>
      <c r="V2" s="630"/>
      <c r="W2" s="631"/>
      <c r="Z2" s="207"/>
    </row>
    <row r="3" spans="1:27" ht="15">
      <c r="A3" s="617"/>
      <c r="B3" s="617" t="b">
        <f ca="1">IFERROR(__xludf.DUMMYFUNCTION("Query(Beta!B5:W102, ""where B = TRUE"")"),TRUE)</f>
        <v>1</v>
      </c>
      <c r="C3" s="632" t="str">
        <f ca="1">IFERROR(__xludf.DUMMYFUNCTION("""COMPUTED_VALUE"""),"Voigtlander 50mm F2 APO-Lanthar")</f>
        <v>Voigtlander 50mm F2 APO-Lanthar</v>
      </c>
      <c r="D3" s="208">
        <f ca="1">IFERROR(__xludf.DUMMYFUNCTION("""COMPUTED_VALUE"""),364)</f>
        <v>364</v>
      </c>
      <c r="E3" s="209">
        <f ca="1">IFERROR(__xludf.DUMMYFUNCTION("""COMPUTED_VALUE"""),50)</f>
        <v>50</v>
      </c>
      <c r="F3" s="633">
        <f ca="1">IFERROR(__xludf.DUMMYFUNCTION("""COMPUTED_VALUE"""),2)</f>
        <v>2</v>
      </c>
      <c r="G3" s="634">
        <f ca="1">IFERROR(__xludf.DUMMYFUNCTION("""COMPUTED_VALUE"""),63)</f>
        <v>63</v>
      </c>
      <c r="H3" s="209">
        <f ca="1">IFERROR(__xludf.DUMMYFUNCTION("""COMPUTED_VALUE"""),61)</f>
        <v>61</v>
      </c>
      <c r="I3" s="635" t="str">
        <f ca="1">IFERROR(__xludf.DUMMYFUNCTION("""COMPUTED_VALUE"""),"MF")</f>
        <v>MF</v>
      </c>
      <c r="J3" s="212" t="str">
        <f ca="1">IFERROR(__xludf.DUMMYFUNCTION("""COMPUTED_VALUE"""),"49mm")</f>
        <v>49mm</v>
      </c>
      <c r="K3" s="77" t="str">
        <f ca="1">IFERROR(__xludf.DUMMYFUNCTION("""COMPUTED_VALUE"""),"")</f>
        <v/>
      </c>
      <c r="L3" s="213">
        <f ca="1">IFERROR(__xludf.DUMMYFUNCTION("""COMPUTED_VALUE"""),45)</f>
        <v>45</v>
      </c>
      <c r="M3" s="213" t="str">
        <f ca="1">IFERROR(__xludf.DUMMYFUNCTION("""COMPUTED_VALUE"""),"no")</f>
        <v>no</v>
      </c>
      <c r="N3" s="636">
        <f ca="1">IFERROR(__xludf.DUMMYFUNCTION("""COMPUTED_VALUE"""),12)</f>
        <v>12</v>
      </c>
      <c r="O3" s="637">
        <f ca="1">IFERROR(__xludf.DUMMYFUNCTION("""COMPUTED_VALUE"""),43687)</f>
        <v>43687</v>
      </c>
      <c r="P3" s="636" t="str">
        <f ca="1">IFERROR(__xludf.DUMMYFUNCTION("""COMPUTED_VALUE"""),"Voigtlander")</f>
        <v>Voigtlander</v>
      </c>
      <c r="Q3" s="638">
        <f ca="1">IFERROR(__xludf.DUMMYFUNCTION("""COMPUTED_VALUE"""),43831)</f>
        <v>43831</v>
      </c>
      <c r="R3" s="215" t="str">
        <f ca="1">IFERROR(__xludf.DUMMYFUNCTION("""COMPUTED_VALUE"""),"")</f>
        <v/>
      </c>
      <c r="S3" s="639" t="str">
        <f ca="1">IFERROR(__xludf.DUMMYFUNCTION("""COMPUTED_VALUE"""),"")</f>
        <v/>
      </c>
      <c r="T3" s="77" t="str">
        <f ca="1">IFERROR(__xludf.DUMMYFUNCTION("""COMPUTED_VALUE"""),"")</f>
        <v/>
      </c>
      <c r="U3" s="640" t="str">
        <f ca="1">IFERROR(__xludf.DUMMYFUNCTION("""COMPUTED_VALUE"""),"")</f>
        <v/>
      </c>
      <c r="V3" s="77" t="str">
        <f ca="1">IFERROR(__xludf.DUMMYFUNCTION("""COMPUTED_VALUE"""),"")</f>
        <v/>
      </c>
      <c r="W3" s="641" t="str">
        <f ca="1">IFERROR(__xludf.DUMMYFUNCTION("""COMPUTED_VALUE"""),"")</f>
        <v/>
      </c>
      <c r="X3" s="77" t="s">
        <v>34</v>
      </c>
      <c r="AA3" s="642"/>
    </row>
    <row r="4" spans="1:27" ht="13">
      <c r="A4" s="616"/>
      <c r="B4" s="616"/>
      <c r="C4" s="643"/>
      <c r="D4" s="208"/>
      <c r="E4" s="209"/>
      <c r="F4" s="633"/>
      <c r="G4" s="561"/>
      <c r="H4" s="209"/>
      <c r="I4" s="639"/>
      <c r="J4" s="212"/>
      <c r="K4" s="77"/>
      <c r="L4" s="213"/>
      <c r="M4" s="213"/>
      <c r="N4" s="636"/>
      <c r="O4" s="636"/>
      <c r="P4" s="636"/>
      <c r="Q4" s="636"/>
      <c r="R4" s="215"/>
      <c r="S4" s="639"/>
      <c r="T4" s="77"/>
      <c r="U4" s="640"/>
      <c r="V4" s="77"/>
      <c r="W4" s="641"/>
    </row>
    <row r="5" spans="1:27" ht="13">
      <c r="A5" s="615"/>
      <c r="B5" s="615"/>
      <c r="C5" s="632"/>
      <c r="D5" s="208"/>
      <c r="E5" s="209"/>
      <c r="F5" s="633"/>
      <c r="G5" s="561"/>
      <c r="H5" s="209"/>
      <c r="I5" s="639"/>
      <c r="J5" s="212"/>
      <c r="K5" s="77"/>
      <c r="L5" s="213"/>
      <c r="M5" s="213"/>
      <c r="N5" s="644"/>
      <c r="O5" s="644"/>
      <c r="P5" s="644"/>
      <c r="Q5" s="636"/>
      <c r="R5" s="215"/>
      <c r="S5" s="639"/>
      <c r="T5" s="77"/>
      <c r="U5" s="640"/>
      <c r="V5" s="77"/>
      <c r="W5" s="641"/>
      <c r="X5" s="77" t="s">
        <v>46</v>
      </c>
    </row>
    <row r="6" spans="1:27" ht="13">
      <c r="A6" s="616"/>
      <c r="B6" s="616"/>
      <c r="C6" s="643"/>
      <c r="D6" s="208"/>
      <c r="E6" s="209"/>
      <c r="F6" s="633"/>
      <c r="G6" s="561"/>
      <c r="H6" s="209"/>
      <c r="I6" s="77"/>
      <c r="J6" s="212"/>
      <c r="K6" s="77"/>
      <c r="L6" s="213"/>
      <c r="M6" s="213"/>
      <c r="N6" s="636"/>
      <c r="O6" s="636"/>
      <c r="P6" s="636"/>
      <c r="Q6" s="636"/>
      <c r="R6" s="215"/>
      <c r="S6" s="639"/>
      <c r="T6" s="77"/>
      <c r="U6" s="645"/>
      <c r="V6" s="77"/>
      <c r="W6" s="641"/>
      <c r="X6" s="77" t="s">
        <v>48</v>
      </c>
    </row>
    <row r="7" spans="1:27" ht="13">
      <c r="A7" s="616"/>
      <c r="B7" s="616"/>
      <c r="C7" s="643"/>
      <c r="D7" s="208"/>
      <c r="E7" s="209"/>
      <c r="F7" s="633"/>
      <c r="G7" s="561"/>
      <c r="H7" s="209"/>
      <c r="I7" s="77"/>
      <c r="J7" s="212"/>
      <c r="K7" s="77"/>
      <c r="L7" s="213"/>
      <c r="M7" s="213"/>
      <c r="N7" s="636"/>
      <c r="O7" s="636"/>
      <c r="P7" s="644"/>
      <c r="Q7" s="636"/>
      <c r="R7" s="215"/>
      <c r="S7" s="639"/>
      <c r="T7" s="77"/>
      <c r="U7" s="646"/>
      <c r="V7" s="77"/>
      <c r="W7" s="641"/>
      <c r="X7" s="77" t="s">
        <v>55</v>
      </c>
    </row>
    <row r="8" spans="1:27" ht="13">
      <c r="A8" s="616"/>
      <c r="B8" s="616"/>
      <c r="C8" s="643"/>
      <c r="D8" s="208"/>
      <c r="E8" s="209"/>
      <c r="F8" s="633"/>
      <c r="G8" s="561"/>
      <c r="H8" s="209"/>
      <c r="I8" s="77"/>
      <c r="J8" s="212"/>
      <c r="K8" s="77"/>
      <c r="L8" s="213"/>
      <c r="M8" s="213"/>
      <c r="N8" s="636"/>
      <c r="O8" s="636"/>
      <c r="P8" s="636"/>
      <c r="Q8" s="636"/>
      <c r="R8" s="215"/>
      <c r="S8" s="639"/>
      <c r="T8" s="77"/>
      <c r="U8" s="645"/>
      <c r="V8" s="77"/>
      <c r="W8" s="641"/>
    </row>
    <row r="9" spans="1:27" ht="13">
      <c r="A9" s="616"/>
      <c r="B9" s="616"/>
      <c r="C9" s="643"/>
      <c r="D9" s="208"/>
      <c r="E9" s="209"/>
      <c r="F9" s="633"/>
      <c r="G9" s="561"/>
      <c r="H9" s="209"/>
      <c r="I9" s="639"/>
      <c r="J9" s="212"/>
      <c r="K9" s="77"/>
      <c r="L9" s="213"/>
      <c r="M9" s="213"/>
      <c r="N9" s="636"/>
      <c r="O9" s="636"/>
      <c r="P9" s="636"/>
      <c r="Q9" s="636"/>
      <c r="R9" s="215"/>
      <c r="S9" s="639"/>
      <c r="T9" s="77"/>
      <c r="U9" s="647"/>
      <c r="V9" s="77"/>
      <c r="W9" s="641"/>
    </row>
    <row r="10" spans="1:27" ht="13">
      <c r="A10" s="615"/>
      <c r="B10" s="615"/>
      <c r="C10" s="648"/>
      <c r="D10" s="649"/>
      <c r="E10" s="650"/>
      <c r="F10" s="651"/>
      <c r="G10" s="652"/>
      <c r="H10" s="650"/>
      <c r="I10" s="653"/>
      <c r="J10" s="654"/>
      <c r="K10" s="48"/>
      <c r="L10" s="655"/>
      <c r="M10" s="655"/>
      <c r="N10" s="656"/>
      <c r="O10" s="656"/>
      <c r="P10" s="656"/>
      <c r="Q10" s="656"/>
      <c r="R10" s="657"/>
      <c r="S10" s="653"/>
      <c r="T10" s="48"/>
      <c r="U10" s="658"/>
      <c r="V10" s="48"/>
      <c r="W10" s="659"/>
      <c r="Y10" s="160"/>
    </row>
    <row r="11" spans="1:27" ht="15.75" customHeight="1">
      <c r="A11" s="616"/>
      <c r="B11" s="616"/>
      <c r="E11" s="402"/>
      <c r="F11" s="284"/>
      <c r="G11" s="558"/>
      <c r="H11" s="402"/>
      <c r="I11" s="285"/>
      <c r="J11" s="286"/>
      <c r="K11" s="285"/>
      <c r="L11" s="203"/>
      <c r="M11" s="203"/>
      <c r="N11" s="660"/>
      <c r="O11" s="660"/>
      <c r="P11" s="660"/>
      <c r="Q11" s="660"/>
      <c r="R11" s="287"/>
      <c r="S11" s="661"/>
      <c r="T11" s="285"/>
      <c r="U11" s="662"/>
      <c r="V11" s="285"/>
      <c r="W11" s="289"/>
      <c r="X11" s="77" t="s">
        <v>48</v>
      </c>
    </row>
    <row r="12" spans="1:27" ht="9.75" customHeight="1">
      <c r="A12" s="616"/>
      <c r="B12" s="616"/>
      <c r="C12" s="207"/>
      <c r="D12" s="208"/>
      <c r="E12" s="663"/>
      <c r="F12" s="305"/>
      <c r="G12" s="664"/>
      <c r="H12" s="291"/>
      <c r="I12" s="665"/>
      <c r="J12" s="307"/>
      <c r="K12" s="306"/>
      <c r="L12" s="311"/>
      <c r="M12" s="311"/>
      <c r="N12" s="666"/>
      <c r="O12" s="666"/>
      <c r="P12" s="666"/>
      <c r="Q12" s="666"/>
      <c r="R12" s="308"/>
      <c r="S12" s="665"/>
      <c r="T12" s="306"/>
      <c r="U12" s="667"/>
      <c r="V12" s="306"/>
      <c r="W12" s="668"/>
    </row>
    <row r="13" spans="1:27" ht="13">
      <c r="A13" s="616"/>
      <c r="B13" s="616"/>
      <c r="C13" s="669" t="s">
        <v>246</v>
      </c>
      <c r="D13" s="670"/>
      <c r="E13" s="671"/>
      <c r="F13" s="672"/>
      <c r="G13" s="673"/>
      <c r="H13" s="674"/>
      <c r="I13" s="675"/>
      <c r="J13" s="676"/>
      <c r="K13" s="677"/>
      <c r="L13" s="678"/>
      <c r="M13" s="678"/>
      <c r="N13" s="679"/>
      <c r="O13" s="679"/>
      <c r="P13" s="679"/>
      <c r="Q13" s="679"/>
      <c r="R13" s="680"/>
      <c r="S13" s="675"/>
      <c r="T13" s="677"/>
      <c r="U13" s="681"/>
      <c r="V13" s="677"/>
      <c r="W13" s="682"/>
    </row>
    <row r="14" spans="1:27" ht="15">
      <c r="A14" s="617" t="b">
        <f ca="1">IFERROR(__xludf.DUMMYFUNCTION("Query(Beta!A5:W102, ""where A = TRUE"")"),TRUE)</f>
        <v>1</v>
      </c>
      <c r="B14" s="617" t="b">
        <f ca="1">IFERROR(__xludf.DUMMYFUNCTION("""COMPUTED_VALUE"""),FALSE)</f>
        <v>0</v>
      </c>
      <c r="C14" s="632" t="str">
        <f ca="1">IFERROR(__xludf.DUMMYFUNCTION("""COMPUTED_VALUE"""),"Zeiss Loxia 50mm F2")</f>
        <v>Zeiss Loxia 50mm F2</v>
      </c>
      <c r="D14" s="208">
        <f ca="1">IFERROR(__xludf.DUMMYFUNCTION("""COMPUTED_VALUE"""),320)</f>
        <v>320</v>
      </c>
      <c r="E14" s="209">
        <f ca="1">IFERROR(__xludf.DUMMYFUNCTION("""COMPUTED_VALUE"""),50)</f>
        <v>50</v>
      </c>
      <c r="F14" s="633">
        <f ca="1">IFERROR(__xludf.DUMMYFUNCTION("""COMPUTED_VALUE"""),2)</f>
        <v>2</v>
      </c>
      <c r="G14" s="683">
        <f ca="1">IFERROR(__xludf.DUMMYFUNCTION("""COMPUTED_VALUE"""),62)</f>
        <v>62</v>
      </c>
      <c r="H14" s="219">
        <f ca="1">IFERROR(__xludf.DUMMYFUNCTION("""COMPUTED_VALUE"""),60)</f>
        <v>60</v>
      </c>
      <c r="I14" s="639" t="str">
        <f ca="1">IFERROR(__xludf.DUMMYFUNCTION("""COMPUTED_VALUE"""),"MF")</f>
        <v>MF</v>
      </c>
      <c r="J14" s="212" t="str">
        <f ca="1">IFERROR(__xludf.DUMMYFUNCTION("""COMPUTED_VALUE"""),"52mm")</f>
        <v>52mm</v>
      </c>
      <c r="K14" s="77">
        <f ca="1">IFERROR(__xludf.DUMMYFUNCTION("""COMPUTED_VALUE"""),0.15)</f>
        <v>0.15</v>
      </c>
      <c r="L14" s="213">
        <f ca="1">IFERROR(__xludf.DUMMYFUNCTION("""COMPUTED_VALUE"""),45)</f>
        <v>45</v>
      </c>
      <c r="M14" s="213" t="str">
        <f ca="1">IFERROR(__xludf.DUMMYFUNCTION("""COMPUTED_VALUE"""),"no")</f>
        <v>no</v>
      </c>
      <c r="N14" s="636">
        <f ca="1">IFERROR(__xludf.DUMMYFUNCTION("""COMPUTED_VALUE"""),10)</f>
        <v>10</v>
      </c>
      <c r="O14" s="637">
        <f ca="1">IFERROR(__xludf.DUMMYFUNCTION("""COMPUTED_VALUE"""),43561)</f>
        <v>43561</v>
      </c>
      <c r="P14" s="644" t="str">
        <f ca="1">IFERROR(__xludf.DUMMYFUNCTION("""COMPUTED_VALUE"""),"Zeiss")</f>
        <v>Zeiss</v>
      </c>
      <c r="Q14" s="638">
        <f ca="1">IFERROR(__xludf.DUMMYFUNCTION("""COMPUTED_VALUE"""),41913)</f>
        <v>41913</v>
      </c>
      <c r="R14" s="215">
        <f ca="1">IFERROR(__xludf.DUMMYFUNCTION("""COMPUTED_VALUE"""),949)</f>
        <v>949</v>
      </c>
      <c r="S14" s="639">
        <f ca="1">IFERROR(__xludf.DUMMYFUNCTION("""COMPUTED_VALUE"""),500)</f>
        <v>500</v>
      </c>
      <c r="T14" s="77" t="str">
        <f ca="1">IFERROR(__xludf.DUMMYFUNCTION("""COMPUTED_VALUE"""),"link*")</f>
        <v>link*</v>
      </c>
      <c r="U14" s="647" t="str">
        <f ca="1">IFERROR(__xludf.DUMMYFUNCTION("""COMPUTED_VALUE"""),"link*")</f>
        <v>link*</v>
      </c>
      <c r="V14" s="77" t="str">
        <f ca="1">IFERROR(__xludf.DUMMYFUNCTION("""COMPUTED_VALUE"""),"link*")</f>
        <v>link*</v>
      </c>
      <c r="W14" s="641" t="str">
        <f ca="1">IFERROR(__xludf.DUMMYFUNCTION("""COMPUTED_VALUE"""),"link*")</f>
        <v>link*</v>
      </c>
    </row>
    <row r="15" spans="1:27" ht="13">
      <c r="A15" s="615"/>
      <c r="B15" s="615"/>
      <c r="C15" s="632"/>
      <c r="D15" s="208"/>
      <c r="E15" s="209"/>
      <c r="F15" s="633"/>
      <c r="G15" s="683"/>
      <c r="H15" s="219"/>
      <c r="I15" s="639"/>
      <c r="J15" s="212"/>
      <c r="K15" s="77"/>
      <c r="L15" s="213"/>
      <c r="M15" s="213"/>
      <c r="N15" s="636"/>
      <c r="O15" s="636"/>
      <c r="P15" s="636"/>
      <c r="Q15" s="636"/>
      <c r="R15" s="215"/>
      <c r="S15" s="639"/>
      <c r="T15" s="77"/>
      <c r="U15" s="647"/>
      <c r="V15" s="77"/>
      <c r="W15" s="641"/>
    </row>
    <row r="16" spans="1:27" ht="13">
      <c r="A16" s="615"/>
      <c r="B16" s="615"/>
      <c r="C16" s="632"/>
      <c r="D16" s="208"/>
      <c r="E16" s="209"/>
      <c r="F16" s="633"/>
      <c r="G16" s="683"/>
      <c r="H16" s="219"/>
      <c r="I16" s="639"/>
      <c r="J16" s="212"/>
      <c r="L16" s="213"/>
      <c r="M16" s="213"/>
      <c r="N16" s="636"/>
      <c r="O16" s="636"/>
      <c r="P16" s="636"/>
      <c r="Q16" s="636"/>
      <c r="R16" s="215"/>
      <c r="S16" s="639"/>
      <c r="T16" s="77"/>
      <c r="U16" s="647"/>
      <c r="V16" s="77"/>
      <c r="W16" s="641"/>
    </row>
    <row r="17" spans="1:24" ht="13">
      <c r="A17" s="615"/>
      <c r="B17" s="615"/>
      <c r="C17" s="632"/>
      <c r="D17" s="208"/>
      <c r="E17" s="209"/>
      <c r="F17" s="633"/>
      <c r="G17" s="683"/>
      <c r="H17" s="219"/>
      <c r="I17" s="639"/>
      <c r="J17" s="212"/>
      <c r="K17" s="77"/>
      <c r="L17" s="213"/>
      <c r="M17" s="213"/>
      <c r="N17" s="636"/>
      <c r="O17" s="636"/>
      <c r="P17" s="636"/>
      <c r="Q17" s="636"/>
      <c r="R17" s="215"/>
      <c r="S17" s="639"/>
      <c r="T17" s="77"/>
      <c r="U17" s="647"/>
      <c r="V17" s="77"/>
      <c r="W17" s="641"/>
    </row>
    <row r="18" spans="1:24" ht="13">
      <c r="A18" s="616"/>
      <c r="B18" s="616"/>
      <c r="C18" s="643"/>
      <c r="D18" s="208"/>
      <c r="E18" s="209"/>
      <c r="F18" s="633"/>
      <c r="G18" s="683"/>
      <c r="H18" s="684"/>
      <c r="I18" s="77"/>
      <c r="J18" s="212"/>
      <c r="K18" s="77"/>
      <c r="L18" s="213"/>
      <c r="M18" s="213"/>
      <c r="N18" s="636"/>
      <c r="O18" s="636"/>
      <c r="P18" s="636"/>
      <c r="Q18" s="636"/>
      <c r="R18" s="215"/>
      <c r="S18" s="639"/>
      <c r="T18" s="77"/>
      <c r="U18" s="645"/>
      <c r="V18" s="77"/>
      <c r="W18" s="641"/>
      <c r="X18" s="77" t="s">
        <v>48</v>
      </c>
    </row>
    <row r="19" spans="1:24" ht="13">
      <c r="A19" s="615"/>
      <c r="B19" s="615"/>
      <c r="C19" s="632"/>
      <c r="D19" s="208"/>
      <c r="E19" s="209"/>
      <c r="F19" s="633"/>
      <c r="G19" s="683"/>
      <c r="H19" s="219"/>
      <c r="I19" s="639"/>
      <c r="J19" s="212"/>
      <c r="K19" s="77"/>
      <c r="L19" s="213"/>
      <c r="M19" s="213"/>
      <c r="N19" s="636"/>
      <c r="O19" s="636"/>
      <c r="P19" s="636"/>
      <c r="Q19" s="636"/>
      <c r="R19" s="215"/>
      <c r="S19" s="639"/>
      <c r="T19" s="77"/>
      <c r="U19" s="647"/>
      <c r="V19" s="77"/>
      <c r="W19" s="641"/>
    </row>
    <row r="20" spans="1:24" ht="13">
      <c r="A20" s="615"/>
      <c r="B20" s="615"/>
      <c r="C20" s="632"/>
      <c r="D20" s="208"/>
      <c r="E20" s="209"/>
      <c r="F20" s="633"/>
      <c r="G20" s="683"/>
      <c r="H20" s="219"/>
      <c r="I20" s="639"/>
      <c r="J20" s="212"/>
      <c r="K20" s="77"/>
      <c r="L20" s="213"/>
      <c r="M20" s="213"/>
      <c r="N20" s="636"/>
      <c r="O20" s="636"/>
      <c r="P20" s="636"/>
      <c r="Q20" s="636"/>
      <c r="R20" s="215"/>
      <c r="S20" s="77"/>
      <c r="T20" s="77"/>
      <c r="U20" s="647"/>
      <c r="V20" s="77"/>
      <c r="W20" s="641"/>
    </row>
    <row r="21" spans="1:24" ht="13">
      <c r="A21" s="615"/>
      <c r="B21" s="615"/>
      <c r="C21" s="648"/>
      <c r="D21" s="649"/>
      <c r="E21" s="650"/>
      <c r="F21" s="651"/>
      <c r="G21" s="685"/>
      <c r="H21" s="686"/>
      <c r="I21" s="653"/>
      <c r="J21" s="654"/>
      <c r="K21" s="48"/>
      <c r="L21" s="655"/>
      <c r="M21" s="655"/>
      <c r="N21" s="656"/>
      <c r="O21" s="656"/>
      <c r="P21" s="656"/>
      <c r="Q21" s="656"/>
      <c r="R21" s="657"/>
      <c r="S21" s="653"/>
      <c r="T21" s="48"/>
      <c r="U21" s="658"/>
      <c r="V21" s="48"/>
      <c r="W21" s="659"/>
    </row>
    <row r="22" spans="1:24" ht="13">
      <c r="A22" s="615"/>
      <c r="B22" s="615"/>
      <c r="C22" s="117"/>
      <c r="D22" s="687" t="s">
        <v>245</v>
      </c>
      <c r="E22" s="688" t="s">
        <v>246</v>
      </c>
      <c r="F22" s="633" t="s">
        <v>247</v>
      </c>
      <c r="G22" s="683"/>
      <c r="H22" s="219"/>
      <c r="I22" s="639"/>
      <c r="J22" s="212"/>
      <c r="K22" s="77"/>
      <c r="L22" s="213"/>
      <c r="M22" s="213"/>
      <c r="N22" s="636"/>
      <c r="O22" s="636"/>
      <c r="P22" s="636"/>
      <c r="Q22" s="636"/>
      <c r="R22" s="215"/>
      <c r="S22" s="639"/>
      <c r="T22" s="77"/>
      <c r="U22" s="647"/>
      <c r="V22" s="77"/>
      <c r="W22" s="290"/>
    </row>
    <row r="23" spans="1:24" ht="13">
      <c r="A23" s="616"/>
      <c r="B23" s="616"/>
      <c r="C23" s="689" t="s">
        <v>248</v>
      </c>
      <c r="D23" s="687">
        <f ca="1">SUM(D3:D10)</f>
        <v>364</v>
      </c>
      <c r="E23" s="690">
        <f ca="1">SUM(D14:D21)</f>
        <v>320</v>
      </c>
      <c r="F23" s="691">
        <f t="shared" ref="F23:F24" ca="1" si="0">E23-D23</f>
        <v>-44</v>
      </c>
      <c r="G23" s="683"/>
      <c r="H23" s="219"/>
      <c r="I23" s="639"/>
      <c r="J23" s="212"/>
      <c r="K23" s="77"/>
      <c r="L23" s="213"/>
      <c r="M23" s="213"/>
      <c r="N23" s="636"/>
      <c r="O23" s="636"/>
      <c r="P23" s="636"/>
      <c r="Q23" s="636"/>
      <c r="R23" s="215"/>
      <c r="S23" s="639"/>
      <c r="T23" s="77"/>
      <c r="U23" s="647"/>
      <c r="V23" s="77"/>
      <c r="W23" s="290"/>
    </row>
    <row r="24" spans="1:24" ht="15">
      <c r="A24" s="615"/>
      <c r="B24" s="615"/>
      <c r="C24" s="689" t="s">
        <v>249</v>
      </c>
      <c r="D24" s="692">
        <f ca="1">SUM(L3:L10)</f>
        <v>45</v>
      </c>
      <c r="E24" s="693">
        <f ca="1">SUM(L14:L21)</f>
        <v>45</v>
      </c>
      <c r="F24" s="694">
        <f t="shared" ca="1" si="0"/>
        <v>0</v>
      </c>
      <c r="G24" s="683"/>
      <c r="H24" s="219"/>
      <c r="I24" s="639"/>
      <c r="J24" s="212"/>
      <c r="K24" s="77"/>
      <c r="L24" s="213"/>
      <c r="M24" s="213"/>
      <c r="N24" s="636"/>
      <c r="O24" s="636"/>
      <c r="P24" s="636"/>
      <c r="Q24" s="636"/>
      <c r="R24" s="215"/>
      <c r="S24" s="639"/>
      <c r="T24" s="77"/>
      <c r="U24" s="647"/>
      <c r="V24" s="77"/>
      <c r="W24" s="290"/>
    </row>
    <row r="25" spans="1:24" ht="13">
      <c r="A25" s="615"/>
      <c r="B25" s="615"/>
      <c r="C25" s="207"/>
      <c r="D25" s="695"/>
      <c r="E25" s="209"/>
      <c r="F25" s="633"/>
      <c r="G25" s="683"/>
      <c r="H25" s="219"/>
      <c r="I25" s="639"/>
      <c r="J25" s="212"/>
      <c r="K25" s="77"/>
      <c r="L25" s="213"/>
      <c r="M25" s="213"/>
      <c r="N25" s="636"/>
      <c r="O25" s="636"/>
      <c r="P25" s="636"/>
      <c r="Q25" s="636"/>
      <c r="R25" s="215"/>
      <c r="S25" s="639"/>
      <c r="T25" s="77"/>
      <c r="U25" s="647"/>
      <c r="V25" s="77"/>
      <c r="W25" s="290"/>
    </row>
    <row r="26" spans="1:24" ht="15">
      <c r="A26" s="616"/>
      <c r="B26" s="616"/>
      <c r="C26" s="207"/>
      <c r="D26" s="696"/>
      <c r="E26" s="209"/>
      <c r="F26" s="633"/>
      <c r="G26" s="683"/>
      <c r="H26" s="219"/>
      <c r="I26" s="639"/>
      <c r="J26" s="212"/>
      <c r="K26" s="77"/>
      <c r="L26" s="213"/>
      <c r="M26" s="213"/>
      <c r="N26" s="636"/>
      <c r="O26" s="636"/>
      <c r="P26" s="636"/>
      <c r="Q26" s="636"/>
      <c r="R26" s="215"/>
      <c r="S26" s="77"/>
      <c r="T26" s="77"/>
      <c r="U26" s="647"/>
      <c r="V26" s="77"/>
      <c r="W26" s="290"/>
    </row>
    <row r="27" spans="1:24" ht="13">
      <c r="A27" s="616"/>
      <c r="B27" s="616"/>
      <c r="C27" s="207"/>
      <c r="D27" s="208"/>
      <c r="E27" s="209"/>
      <c r="F27" s="633"/>
      <c r="G27" s="683"/>
      <c r="H27" s="219"/>
      <c r="I27" s="639"/>
      <c r="J27" s="212"/>
      <c r="L27" s="213"/>
      <c r="M27" s="213"/>
      <c r="N27" s="636"/>
      <c r="O27" s="636"/>
      <c r="P27" s="636"/>
      <c r="Q27" s="636"/>
      <c r="R27" s="215"/>
      <c r="S27" s="77"/>
      <c r="T27" s="77"/>
      <c r="U27" s="647"/>
      <c r="V27" s="77"/>
      <c r="W27" s="290"/>
      <c r="X27" s="77" t="s">
        <v>154</v>
      </c>
    </row>
    <row r="28" spans="1:24" ht="15.75" customHeight="1">
      <c r="A28" s="615"/>
      <c r="B28" s="615"/>
      <c r="C28" s="117"/>
      <c r="D28" s="208"/>
      <c r="E28" s="209"/>
      <c r="F28" s="633"/>
      <c r="G28" s="683"/>
      <c r="H28" s="219"/>
      <c r="I28" s="77"/>
      <c r="J28" s="212"/>
      <c r="K28" s="77"/>
      <c r="L28" s="213"/>
      <c r="M28" s="213"/>
      <c r="N28" s="636"/>
      <c r="O28" s="636"/>
      <c r="P28" s="644"/>
      <c r="Q28" s="636"/>
      <c r="R28" s="215"/>
      <c r="S28" s="639"/>
      <c r="T28" s="77"/>
      <c r="U28" s="645"/>
      <c r="V28" s="77"/>
      <c r="W28" s="290"/>
    </row>
    <row r="29" spans="1:24" ht="13">
      <c r="A29" s="615"/>
      <c r="B29" s="615"/>
      <c r="C29" s="117"/>
      <c r="D29" s="208"/>
      <c r="E29" s="209"/>
      <c r="F29" s="633"/>
      <c r="G29" s="683"/>
      <c r="H29" s="219"/>
      <c r="I29" s="77"/>
      <c r="J29" s="212"/>
      <c r="K29" s="77"/>
      <c r="L29" s="213"/>
      <c r="M29" s="213"/>
      <c r="N29" s="636"/>
      <c r="O29" s="636"/>
      <c r="P29" s="636"/>
      <c r="Q29" s="636"/>
      <c r="R29" s="215"/>
      <c r="S29" s="639"/>
      <c r="T29" s="77"/>
      <c r="U29" s="645"/>
      <c r="V29" s="77"/>
      <c r="W29" s="290"/>
    </row>
    <row r="30" spans="1:24" ht="13">
      <c r="A30" s="616"/>
      <c r="B30" s="616"/>
      <c r="C30" s="207"/>
      <c r="D30" s="208"/>
      <c r="E30" s="209"/>
      <c r="F30" s="633"/>
      <c r="G30" s="683"/>
      <c r="H30" s="219"/>
      <c r="I30" s="77"/>
      <c r="J30" s="212"/>
      <c r="K30" s="77"/>
      <c r="L30" s="213"/>
      <c r="M30" s="213"/>
      <c r="N30" s="636"/>
      <c r="O30" s="636"/>
      <c r="P30" s="636"/>
      <c r="Q30" s="636"/>
      <c r="R30" s="215"/>
      <c r="S30" s="639"/>
      <c r="T30" s="77"/>
      <c r="U30" s="645"/>
      <c r="V30" s="77"/>
      <c r="W30" s="290"/>
      <c r="X30" s="77" t="s">
        <v>156</v>
      </c>
    </row>
    <row r="31" spans="1:24" ht="13">
      <c r="A31" s="615"/>
      <c r="B31" s="615"/>
      <c r="C31" s="117"/>
      <c r="D31" s="208"/>
      <c r="E31" s="209"/>
      <c r="F31" s="633"/>
      <c r="G31" s="683"/>
      <c r="H31" s="219"/>
      <c r="I31" s="77"/>
      <c r="J31" s="212"/>
      <c r="K31" s="77"/>
      <c r="L31" s="213"/>
      <c r="M31" s="213"/>
      <c r="N31" s="636"/>
      <c r="O31" s="636"/>
      <c r="P31" s="636"/>
      <c r="Q31" s="636"/>
      <c r="R31" s="215"/>
      <c r="S31" s="639"/>
      <c r="T31" s="77"/>
      <c r="U31" s="645"/>
      <c r="V31" s="77"/>
      <c r="W31" s="290"/>
    </row>
    <row r="32" spans="1:24" ht="15.75" customHeight="1">
      <c r="A32" s="615"/>
      <c r="B32" s="615"/>
      <c r="C32" s="117"/>
      <c r="D32" s="208"/>
      <c r="E32" s="209"/>
      <c r="F32" s="633"/>
      <c r="G32" s="683"/>
      <c r="H32" s="684"/>
      <c r="I32" s="77"/>
      <c r="J32" s="212"/>
      <c r="K32" s="77"/>
      <c r="L32" s="213"/>
      <c r="M32" s="213"/>
      <c r="N32" s="636"/>
      <c r="O32" s="636"/>
      <c r="P32" s="636"/>
      <c r="Q32" s="636"/>
      <c r="R32" s="215"/>
      <c r="S32" s="639"/>
      <c r="T32" s="77"/>
      <c r="U32" s="645"/>
      <c r="V32" s="77"/>
      <c r="W32" s="290"/>
      <c r="X32" s="77" t="s">
        <v>48</v>
      </c>
    </row>
    <row r="33" spans="1:24" ht="13">
      <c r="A33" s="616"/>
      <c r="B33" s="616"/>
      <c r="C33" s="207"/>
      <c r="D33" s="208"/>
      <c r="E33" s="209"/>
      <c r="F33" s="633"/>
      <c r="G33" s="683"/>
      <c r="H33" s="219"/>
      <c r="I33" s="77"/>
      <c r="J33" s="212"/>
      <c r="K33" s="77"/>
      <c r="L33" s="213"/>
      <c r="M33" s="213"/>
      <c r="N33" s="644"/>
      <c r="O33" s="636"/>
      <c r="P33" s="636"/>
      <c r="Q33" s="636"/>
      <c r="R33" s="215"/>
      <c r="S33" s="639"/>
      <c r="T33" s="77"/>
      <c r="U33" s="645"/>
      <c r="V33" s="77"/>
      <c r="W33" s="290"/>
    </row>
    <row r="34" spans="1:24" ht="13">
      <c r="A34" s="615"/>
      <c r="B34" s="615"/>
      <c r="C34" s="117"/>
      <c r="D34" s="208"/>
      <c r="E34" s="209"/>
      <c r="F34" s="633"/>
      <c r="G34" s="683"/>
      <c r="H34" s="219"/>
      <c r="I34" s="77"/>
      <c r="J34" s="212"/>
      <c r="K34" s="77"/>
      <c r="L34" s="213"/>
      <c r="M34" s="213"/>
      <c r="N34" s="636"/>
      <c r="O34" s="636"/>
      <c r="P34" s="644"/>
      <c r="Q34" s="636"/>
      <c r="R34" s="215"/>
      <c r="S34" s="639"/>
      <c r="T34" s="77"/>
      <c r="U34" s="645"/>
      <c r="V34" s="77"/>
      <c r="W34" s="290"/>
      <c r="X34" s="77" t="s">
        <v>166</v>
      </c>
    </row>
    <row r="35" spans="1:24" ht="13">
      <c r="A35" s="615"/>
      <c r="B35" s="615"/>
      <c r="C35" s="117"/>
      <c r="D35" s="208"/>
      <c r="E35" s="209"/>
      <c r="F35" s="633"/>
      <c r="G35" s="683"/>
      <c r="H35" s="219"/>
      <c r="I35" s="77"/>
      <c r="J35" s="212"/>
      <c r="K35" s="77"/>
      <c r="L35" s="213"/>
      <c r="M35" s="213"/>
      <c r="N35" s="636"/>
      <c r="O35" s="636"/>
      <c r="P35" s="644"/>
      <c r="Q35" s="636"/>
      <c r="R35" s="215"/>
      <c r="S35" s="639"/>
      <c r="T35" s="77"/>
      <c r="U35" s="645"/>
      <c r="V35" s="77"/>
      <c r="W35" s="290"/>
    </row>
    <row r="36" spans="1:24" ht="13">
      <c r="A36" s="616"/>
      <c r="B36" s="616"/>
      <c r="C36" s="207"/>
      <c r="D36" s="208"/>
      <c r="E36" s="209"/>
      <c r="F36" s="633"/>
      <c r="G36" s="683"/>
      <c r="H36" s="219"/>
      <c r="I36" s="77"/>
      <c r="J36" s="212"/>
      <c r="K36" s="77"/>
      <c r="L36" s="213"/>
      <c r="M36" s="213"/>
      <c r="N36" s="636"/>
      <c r="O36" s="636"/>
      <c r="P36" s="644"/>
      <c r="Q36" s="636"/>
      <c r="R36" s="215"/>
      <c r="S36" s="639"/>
      <c r="T36" s="77"/>
      <c r="U36" s="645"/>
      <c r="V36" s="77"/>
      <c r="W36" s="290"/>
    </row>
    <row r="37" spans="1:24" ht="13">
      <c r="A37" s="615"/>
      <c r="B37" s="615"/>
      <c r="C37" s="117"/>
      <c r="D37" s="208"/>
      <c r="E37" s="209"/>
      <c r="F37" s="633"/>
      <c r="G37" s="683"/>
      <c r="H37" s="219"/>
      <c r="I37" s="77"/>
      <c r="J37" s="212"/>
      <c r="K37" s="77"/>
      <c r="L37" s="213"/>
      <c r="M37" s="213"/>
      <c r="N37" s="636"/>
      <c r="O37" s="636"/>
      <c r="P37" s="644"/>
      <c r="Q37" s="636"/>
      <c r="R37" s="215"/>
      <c r="S37" s="639"/>
      <c r="T37" s="77"/>
      <c r="U37" s="645"/>
      <c r="V37" s="77"/>
      <c r="W37" s="290"/>
    </row>
    <row r="38" spans="1:24" ht="13">
      <c r="A38" s="615"/>
      <c r="B38" s="615"/>
      <c r="C38" s="117"/>
      <c r="D38" s="208"/>
      <c r="E38" s="209"/>
      <c r="F38" s="633"/>
      <c r="G38" s="683"/>
      <c r="H38" s="219"/>
      <c r="I38" s="77"/>
      <c r="J38" s="212"/>
      <c r="K38" s="77"/>
      <c r="L38" s="213"/>
      <c r="M38" s="213"/>
      <c r="N38" s="636"/>
      <c r="O38" s="636"/>
      <c r="P38" s="644"/>
      <c r="Q38" s="636"/>
      <c r="R38" s="215"/>
      <c r="S38" s="639"/>
      <c r="T38" s="77"/>
      <c r="U38" s="645"/>
      <c r="V38" s="77"/>
      <c r="W38" s="290"/>
      <c r="X38" s="77" t="s">
        <v>48</v>
      </c>
    </row>
    <row r="39" spans="1:24" ht="13">
      <c r="A39" s="615"/>
      <c r="B39" s="615"/>
      <c r="C39" s="117"/>
      <c r="D39" s="208"/>
      <c r="E39" s="209"/>
      <c r="F39" s="633"/>
      <c r="G39" s="683"/>
      <c r="H39" s="219"/>
      <c r="I39" s="77"/>
      <c r="J39" s="212"/>
      <c r="K39" s="77"/>
      <c r="L39" s="213"/>
      <c r="M39" s="213"/>
      <c r="N39" s="636"/>
      <c r="O39" s="636"/>
      <c r="P39" s="644"/>
      <c r="Q39" s="636"/>
      <c r="R39" s="215"/>
      <c r="S39" s="639"/>
      <c r="T39" s="77"/>
      <c r="U39" s="645"/>
      <c r="V39" s="77"/>
      <c r="W39" s="290"/>
      <c r="X39" s="77" t="s">
        <v>159</v>
      </c>
    </row>
    <row r="40" spans="1:24" ht="13">
      <c r="A40" s="616"/>
      <c r="B40" s="616"/>
      <c r="C40" s="207"/>
      <c r="D40" s="208"/>
      <c r="E40" s="209"/>
      <c r="F40" s="633"/>
      <c r="G40" s="683"/>
      <c r="H40" s="219"/>
      <c r="I40" s="77"/>
      <c r="J40" s="212"/>
      <c r="K40" s="77"/>
      <c r="L40" s="213"/>
      <c r="M40" s="213"/>
      <c r="N40" s="636"/>
      <c r="O40" s="636"/>
      <c r="P40" s="644"/>
      <c r="Q40" s="636"/>
      <c r="R40" s="215"/>
      <c r="S40" s="639"/>
      <c r="T40" s="77"/>
      <c r="U40" s="645"/>
      <c r="V40" s="77"/>
      <c r="W40" s="290"/>
    </row>
    <row r="41" spans="1:24" ht="13">
      <c r="A41" s="616"/>
      <c r="B41" s="616"/>
      <c r="C41" s="207"/>
      <c r="D41" s="208"/>
      <c r="E41" s="209"/>
      <c r="F41" s="633"/>
      <c r="G41" s="683"/>
      <c r="H41" s="219"/>
      <c r="I41" s="77"/>
      <c r="J41" s="212"/>
      <c r="K41" s="77"/>
      <c r="L41" s="213"/>
      <c r="M41" s="213"/>
      <c r="N41" s="636"/>
      <c r="O41" s="636"/>
      <c r="P41" s="644"/>
      <c r="Q41" s="636"/>
      <c r="R41" s="215"/>
      <c r="S41" s="639"/>
      <c r="T41" s="77"/>
      <c r="U41" s="645"/>
      <c r="V41" s="77"/>
      <c r="W41" s="290"/>
      <c r="X41" s="77" t="s">
        <v>162</v>
      </c>
    </row>
    <row r="42" spans="1:24" ht="13">
      <c r="A42" s="615"/>
      <c r="B42" s="615"/>
      <c r="C42" s="117"/>
      <c r="D42" s="208"/>
      <c r="E42" s="209"/>
      <c r="F42" s="633"/>
      <c r="G42" s="683"/>
      <c r="H42" s="219"/>
      <c r="I42" s="77"/>
      <c r="J42" s="212"/>
      <c r="K42" s="77"/>
      <c r="L42" s="213"/>
      <c r="M42" s="213"/>
      <c r="N42" s="636"/>
      <c r="O42" s="636"/>
      <c r="P42" s="644"/>
      <c r="Q42" s="636"/>
      <c r="R42" s="215"/>
      <c r="S42" s="639"/>
      <c r="T42" s="77"/>
      <c r="U42" s="645"/>
      <c r="V42" s="77"/>
      <c r="W42" s="290"/>
    </row>
    <row r="43" spans="1:24" ht="13">
      <c r="A43" s="616"/>
      <c r="B43" s="616"/>
      <c r="C43" s="207"/>
      <c r="D43" s="208"/>
      <c r="E43" s="209"/>
      <c r="F43" s="633"/>
      <c r="G43" s="683"/>
      <c r="H43" s="219"/>
      <c r="I43" s="77"/>
      <c r="J43" s="212"/>
      <c r="K43" s="77"/>
      <c r="L43" s="213"/>
      <c r="M43" s="213"/>
      <c r="N43" s="636"/>
      <c r="O43" s="636"/>
      <c r="P43" s="644"/>
      <c r="Q43" s="636"/>
      <c r="R43" s="215"/>
      <c r="S43" s="639"/>
      <c r="T43" s="77"/>
      <c r="U43" s="645"/>
      <c r="V43" s="77"/>
      <c r="W43" s="290"/>
    </row>
    <row r="44" spans="1:24" ht="13">
      <c r="A44" s="616"/>
      <c r="B44" s="616"/>
      <c r="C44" s="207"/>
      <c r="D44" s="208"/>
      <c r="E44" s="209"/>
      <c r="F44" s="633"/>
      <c r="G44" s="683"/>
      <c r="H44" s="684"/>
      <c r="I44" s="77"/>
      <c r="J44" s="212"/>
      <c r="K44" s="77"/>
      <c r="L44" s="213"/>
      <c r="M44" s="213"/>
      <c r="N44" s="636"/>
      <c r="O44" s="636"/>
      <c r="P44" s="636"/>
      <c r="Q44" s="636"/>
      <c r="R44" s="215"/>
      <c r="S44" s="639"/>
      <c r="T44" s="77"/>
      <c r="U44" s="645"/>
      <c r="V44" s="77"/>
      <c r="W44" s="290"/>
      <c r="X44" s="77" t="s">
        <v>48</v>
      </c>
    </row>
    <row r="45" spans="1:24" ht="13">
      <c r="A45" s="616"/>
      <c r="B45" s="616"/>
      <c r="C45" s="207"/>
      <c r="D45" s="208"/>
      <c r="E45" s="209"/>
      <c r="F45" s="633"/>
      <c r="G45" s="683"/>
      <c r="H45" s="219"/>
      <c r="I45" s="77"/>
      <c r="J45" s="212"/>
      <c r="K45" s="77"/>
      <c r="L45" s="213"/>
      <c r="M45" s="213"/>
      <c r="N45" s="636"/>
      <c r="O45" s="636"/>
      <c r="P45" s="644"/>
      <c r="Q45" s="636"/>
      <c r="R45" s="215"/>
      <c r="S45" s="639"/>
      <c r="T45" s="77"/>
      <c r="U45" s="645"/>
      <c r="V45" s="77"/>
      <c r="W45" s="290"/>
    </row>
    <row r="46" spans="1:24" ht="13">
      <c r="A46" s="615"/>
      <c r="B46" s="615"/>
      <c r="C46" s="117"/>
      <c r="D46" s="208"/>
      <c r="E46" s="209"/>
      <c r="F46" s="633"/>
      <c r="G46" s="683"/>
      <c r="H46" s="219"/>
      <c r="I46" s="77"/>
      <c r="J46" s="212"/>
      <c r="K46" s="77"/>
      <c r="L46" s="213"/>
      <c r="M46" s="213"/>
      <c r="N46" s="636"/>
      <c r="O46" s="636"/>
      <c r="P46" s="636"/>
      <c r="Q46" s="636"/>
      <c r="R46" s="215"/>
      <c r="S46" s="639"/>
      <c r="T46" s="77"/>
      <c r="U46" s="645"/>
      <c r="V46" s="77"/>
      <c r="W46" s="290"/>
    </row>
    <row r="47" spans="1:24" ht="13">
      <c r="A47" s="615"/>
      <c r="B47" s="615"/>
      <c r="C47" s="117"/>
      <c r="D47" s="208"/>
      <c r="E47" s="209"/>
      <c r="F47" s="633"/>
      <c r="G47" s="683"/>
      <c r="H47" s="219"/>
      <c r="I47" s="77"/>
      <c r="J47" s="212"/>
      <c r="K47" s="77"/>
      <c r="L47" s="213"/>
      <c r="M47" s="213"/>
      <c r="N47" s="636"/>
      <c r="O47" s="636"/>
      <c r="P47" s="636"/>
      <c r="Q47" s="636"/>
      <c r="R47" s="215"/>
      <c r="S47" s="639"/>
      <c r="T47" s="77"/>
      <c r="U47" s="645"/>
      <c r="V47" s="77"/>
      <c r="W47" s="290"/>
      <c r="X47" s="77" t="s">
        <v>166</v>
      </c>
    </row>
    <row r="48" spans="1:24" ht="13">
      <c r="A48" s="615"/>
      <c r="B48" s="615"/>
      <c r="C48" s="117"/>
      <c r="D48" s="208"/>
      <c r="E48" s="209"/>
      <c r="F48" s="633"/>
      <c r="G48" s="683"/>
      <c r="H48" s="219"/>
      <c r="I48" s="77"/>
      <c r="J48" s="212"/>
      <c r="K48" s="77"/>
      <c r="L48" s="213"/>
      <c r="M48" s="213"/>
      <c r="N48" s="636"/>
      <c r="O48" s="636"/>
      <c r="P48" s="636"/>
      <c r="Q48" s="636"/>
      <c r="R48" s="215"/>
      <c r="S48" s="639"/>
      <c r="T48" s="77"/>
      <c r="U48" s="645"/>
      <c r="V48" s="77"/>
      <c r="W48" s="290"/>
    </row>
    <row r="49" spans="1:24" ht="13">
      <c r="A49" s="615"/>
      <c r="B49" s="615"/>
      <c r="C49" s="117"/>
      <c r="D49" s="208"/>
      <c r="E49" s="209"/>
      <c r="F49" s="633"/>
      <c r="G49" s="683"/>
      <c r="H49" s="219"/>
      <c r="I49" s="77"/>
      <c r="J49" s="212"/>
      <c r="K49" s="77"/>
      <c r="L49" s="213"/>
      <c r="M49" s="213"/>
      <c r="N49" s="636"/>
      <c r="O49" s="636"/>
      <c r="P49" s="644"/>
      <c r="Q49" s="636"/>
      <c r="R49" s="215"/>
      <c r="S49" s="639"/>
      <c r="T49" s="77"/>
      <c r="U49" s="645"/>
      <c r="V49" s="77"/>
      <c r="W49" s="290"/>
    </row>
    <row r="50" spans="1:24" ht="13">
      <c r="A50" s="615"/>
      <c r="B50" s="615"/>
      <c r="C50" s="117"/>
      <c r="D50" s="208"/>
      <c r="E50" s="209"/>
      <c r="F50" s="633"/>
      <c r="G50" s="683"/>
      <c r="H50" s="219"/>
      <c r="I50" s="77"/>
      <c r="J50" s="212"/>
      <c r="K50" s="77"/>
      <c r="L50" s="213"/>
      <c r="M50" s="213"/>
      <c r="N50" s="636"/>
      <c r="O50" s="636"/>
      <c r="P50" s="644"/>
      <c r="Q50" s="636"/>
      <c r="R50" s="215"/>
      <c r="S50" s="639"/>
      <c r="T50" s="77"/>
      <c r="U50" s="645"/>
      <c r="V50" s="77"/>
      <c r="W50" s="290"/>
    </row>
    <row r="51" spans="1:24" ht="13">
      <c r="A51" s="616"/>
      <c r="B51" s="616"/>
      <c r="C51" s="207"/>
      <c r="D51" s="208"/>
      <c r="E51" s="209"/>
      <c r="F51" s="633"/>
      <c r="G51" s="683"/>
      <c r="H51" s="684"/>
      <c r="I51" s="77"/>
      <c r="J51" s="212"/>
      <c r="K51" s="77"/>
      <c r="L51" s="213"/>
      <c r="M51" s="213"/>
      <c r="N51" s="636"/>
      <c r="O51" s="636"/>
      <c r="P51" s="644"/>
      <c r="Q51" s="636"/>
      <c r="R51" s="215"/>
      <c r="S51" s="639"/>
      <c r="T51" s="77"/>
      <c r="U51" s="645"/>
      <c r="V51" s="77"/>
      <c r="W51" s="290"/>
      <c r="X51" s="77" t="s">
        <v>48</v>
      </c>
    </row>
    <row r="52" spans="1:24" ht="13">
      <c r="A52" s="616"/>
      <c r="B52" s="616"/>
      <c r="C52" s="207"/>
      <c r="D52" s="208"/>
      <c r="E52" s="209"/>
      <c r="F52" s="633"/>
      <c r="G52" s="683"/>
      <c r="H52" s="219"/>
      <c r="I52" s="77"/>
      <c r="J52" s="212"/>
      <c r="K52" s="77"/>
      <c r="L52" s="213"/>
      <c r="M52" s="213"/>
      <c r="N52" s="636"/>
      <c r="O52" s="636"/>
      <c r="P52" s="644"/>
      <c r="Q52" s="636"/>
      <c r="R52" s="215"/>
      <c r="S52" s="77"/>
      <c r="T52" s="77"/>
      <c r="U52" s="646"/>
      <c r="V52" s="77"/>
      <c r="W52" s="290"/>
    </row>
    <row r="53" spans="1:24" ht="13">
      <c r="A53" s="616"/>
      <c r="B53" s="616"/>
      <c r="C53" s="697"/>
      <c r="D53" s="50"/>
      <c r="E53" s="51"/>
      <c r="F53" s="52"/>
      <c r="G53" s="279"/>
      <c r="H53" s="195"/>
      <c r="I53" s="59"/>
      <c r="J53" s="57"/>
      <c r="K53" s="59"/>
      <c r="L53" s="61"/>
      <c r="M53" s="61"/>
      <c r="N53" s="63"/>
      <c r="O53" s="63"/>
      <c r="P53" s="189"/>
      <c r="Q53" s="63"/>
      <c r="R53" s="71"/>
      <c r="S53" s="59"/>
      <c r="T53" s="59"/>
      <c r="U53" s="698"/>
      <c r="V53" s="59"/>
      <c r="W53" s="83"/>
    </row>
    <row r="54" spans="1:24" ht="13">
      <c r="A54" s="615"/>
      <c r="B54" s="615"/>
      <c r="C54" s="198"/>
      <c r="D54" s="60"/>
      <c r="E54" s="67"/>
      <c r="F54" s="64"/>
      <c r="G54" s="279"/>
      <c r="H54" s="195"/>
      <c r="I54" s="74"/>
      <c r="J54" s="72"/>
      <c r="K54" s="74"/>
      <c r="L54" s="76"/>
      <c r="M54" s="76"/>
      <c r="N54" s="121"/>
      <c r="O54" s="121"/>
      <c r="P54" s="121"/>
      <c r="Q54" s="121"/>
      <c r="R54" s="84"/>
      <c r="S54" s="74"/>
      <c r="T54" s="74"/>
      <c r="U54" s="115"/>
      <c r="V54" s="74"/>
      <c r="W54" s="88"/>
    </row>
    <row r="55" spans="1:24" ht="13">
      <c r="A55" s="615"/>
      <c r="B55" s="615"/>
      <c r="C55" s="198"/>
      <c r="D55" s="60"/>
      <c r="E55" s="67"/>
      <c r="F55" s="64"/>
      <c r="G55" s="279"/>
      <c r="H55" s="195"/>
      <c r="I55" s="74"/>
      <c r="J55" s="72"/>
      <c r="K55" s="74"/>
      <c r="L55" s="76"/>
      <c r="M55" s="76"/>
      <c r="N55" s="121"/>
      <c r="O55" s="121"/>
      <c r="P55" s="113"/>
      <c r="Q55" s="121"/>
      <c r="R55" s="84"/>
      <c r="S55" s="70"/>
      <c r="T55" s="74"/>
      <c r="U55" s="112"/>
      <c r="V55" s="74"/>
      <c r="W55" s="88"/>
    </row>
    <row r="56" spans="1:24" ht="13">
      <c r="A56" s="616"/>
      <c r="B56" s="616"/>
      <c r="C56" s="323"/>
      <c r="D56" s="60"/>
      <c r="E56" s="67"/>
      <c r="F56" s="64"/>
      <c r="G56" s="279"/>
      <c r="H56" s="195"/>
      <c r="I56" s="74"/>
      <c r="J56" s="72"/>
      <c r="K56" s="74"/>
      <c r="L56" s="76"/>
      <c r="M56" s="76"/>
      <c r="N56" s="121"/>
      <c r="O56" s="121"/>
      <c r="P56" s="121"/>
      <c r="Q56" s="121"/>
      <c r="R56" s="84"/>
      <c r="S56" s="70"/>
      <c r="T56" s="74"/>
      <c r="U56" s="112"/>
      <c r="V56" s="74"/>
      <c r="W56" s="88"/>
      <c r="X56" s="77" t="s">
        <v>48</v>
      </c>
    </row>
    <row r="57" spans="1:24" ht="13">
      <c r="A57" s="616"/>
      <c r="B57" s="616"/>
      <c r="C57" s="323"/>
      <c r="D57" s="60"/>
      <c r="E57" s="67"/>
      <c r="F57" s="64"/>
      <c r="G57" s="279"/>
      <c r="H57" s="195"/>
      <c r="I57" s="74"/>
      <c r="J57" s="72"/>
      <c r="K57" s="74"/>
      <c r="L57" s="76"/>
      <c r="M57" s="76"/>
      <c r="N57" s="121"/>
      <c r="O57" s="121"/>
      <c r="P57" s="113"/>
      <c r="Q57" s="121"/>
      <c r="R57" s="84"/>
      <c r="S57" s="70"/>
      <c r="T57" s="74"/>
      <c r="U57" s="112"/>
      <c r="V57" s="74"/>
      <c r="W57" s="88"/>
    </row>
    <row r="58" spans="1:24" ht="13">
      <c r="A58" s="615"/>
      <c r="B58" s="615"/>
      <c r="C58" s="198"/>
      <c r="D58" s="60"/>
      <c r="E58" s="67"/>
      <c r="F58" s="64"/>
      <c r="G58" s="279"/>
      <c r="H58" s="195"/>
      <c r="I58" s="74"/>
      <c r="J58" s="72"/>
      <c r="K58" s="74"/>
      <c r="L58" s="76"/>
      <c r="M58" s="76"/>
      <c r="N58" s="121"/>
      <c r="O58" s="121"/>
      <c r="P58" s="113"/>
      <c r="Q58" s="121"/>
      <c r="R58" s="84"/>
      <c r="S58" s="70"/>
      <c r="T58" s="74"/>
      <c r="U58" s="112"/>
      <c r="V58" s="74"/>
      <c r="W58" s="88"/>
    </row>
    <row r="59" spans="1:24" ht="13">
      <c r="A59" s="615"/>
      <c r="B59" s="615"/>
      <c r="C59" s="198"/>
      <c r="D59" s="60"/>
      <c r="E59" s="67"/>
      <c r="F59" s="64"/>
      <c r="G59" s="279"/>
      <c r="H59" s="195"/>
      <c r="I59" s="74"/>
      <c r="J59" s="72"/>
      <c r="K59" s="74"/>
      <c r="L59" s="76"/>
      <c r="M59" s="76"/>
      <c r="N59" s="121"/>
      <c r="O59" s="121"/>
      <c r="P59" s="113"/>
      <c r="Q59" s="121"/>
      <c r="R59" s="84"/>
      <c r="S59" s="74"/>
      <c r="T59" s="74"/>
      <c r="U59" s="112"/>
      <c r="V59" s="74"/>
      <c r="W59" s="88"/>
    </row>
    <row r="60" spans="1:24" ht="13">
      <c r="A60" s="616"/>
      <c r="B60" s="616"/>
      <c r="C60" s="323"/>
      <c r="D60" s="60"/>
      <c r="E60" s="67"/>
      <c r="F60" s="64"/>
      <c r="G60" s="279"/>
      <c r="H60" s="195"/>
      <c r="I60" s="74"/>
      <c r="J60" s="72"/>
      <c r="K60" s="74"/>
      <c r="L60" s="76"/>
      <c r="M60" s="76"/>
      <c r="N60" s="121"/>
      <c r="O60" s="121"/>
      <c r="P60" s="113"/>
      <c r="Q60" s="121"/>
      <c r="R60" s="84"/>
      <c r="S60" s="70"/>
      <c r="T60" s="74"/>
      <c r="U60" s="112"/>
      <c r="V60" s="74"/>
      <c r="W60" s="292"/>
      <c r="X60" s="77" t="s">
        <v>200</v>
      </c>
    </row>
    <row r="61" spans="1:24" ht="13">
      <c r="A61" s="616"/>
      <c r="B61" s="616"/>
      <c r="C61" s="323"/>
      <c r="D61" s="60"/>
      <c r="E61" s="67"/>
      <c r="F61" s="64"/>
      <c r="G61" s="279"/>
      <c r="H61" s="195"/>
      <c r="I61" s="74"/>
      <c r="J61" s="72"/>
      <c r="K61" s="74"/>
      <c r="L61" s="76"/>
      <c r="M61" s="76"/>
      <c r="N61" s="121"/>
      <c r="O61" s="121"/>
      <c r="P61" s="113"/>
      <c r="Q61" s="121"/>
      <c r="R61" s="84"/>
      <c r="S61" s="70"/>
      <c r="T61" s="74"/>
      <c r="U61" s="112"/>
      <c r="V61" s="74"/>
      <c r="W61" s="88"/>
    </row>
    <row r="62" spans="1:24" ht="13">
      <c r="A62" s="615"/>
      <c r="B62" s="615"/>
      <c r="C62" s="198"/>
      <c r="D62" s="60"/>
      <c r="E62" s="67"/>
      <c r="F62" s="64"/>
      <c r="G62" s="279"/>
      <c r="H62" s="195"/>
      <c r="I62" s="74"/>
      <c r="J62" s="72"/>
      <c r="K62" s="74"/>
      <c r="L62" s="76"/>
      <c r="M62" s="76"/>
      <c r="N62" s="121"/>
      <c r="O62" s="121"/>
      <c r="P62" s="113"/>
      <c r="Q62" s="121"/>
      <c r="R62" s="84"/>
      <c r="S62" s="70"/>
      <c r="T62" s="74"/>
      <c r="U62" s="112"/>
      <c r="V62" s="74"/>
      <c r="W62" s="88"/>
    </row>
    <row r="63" spans="1:24" ht="13">
      <c r="A63" s="615"/>
      <c r="B63" s="615"/>
      <c r="C63" s="198"/>
      <c r="D63" s="60"/>
      <c r="E63" s="67"/>
      <c r="F63" s="64"/>
      <c r="G63" s="279"/>
      <c r="H63" s="195"/>
      <c r="I63" s="74"/>
      <c r="J63" s="72"/>
      <c r="K63" s="74"/>
      <c r="L63" s="76"/>
      <c r="M63" s="76"/>
      <c r="N63" s="121"/>
      <c r="O63" s="121"/>
      <c r="P63" s="121"/>
      <c r="Q63" s="121"/>
      <c r="R63" s="84"/>
      <c r="S63" s="74"/>
      <c r="T63" s="74"/>
      <c r="U63" s="112"/>
      <c r="V63" s="74"/>
      <c r="W63" s="88"/>
    </row>
    <row r="64" spans="1:24" ht="13">
      <c r="A64" s="615"/>
      <c r="B64" s="615"/>
      <c r="C64" s="198"/>
      <c r="D64" s="60"/>
      <c r="E64" s="67"/>
      <c r="F64" s="64"/>
      <c r="G64" s="279"/>
      <c r="H64" s="195"/>
      <c r="I64" s="74"/>
      <c r="J64" s="72"/>
      <c r="K64" s="74"/>
      <c r="L64" s="76"/>
      <c r="M64" s="76"/>
      <c r="N64" s="121"/>
      <c r="O64" s="121"/>
      <c r="P64" s="113"/>
      <c r="Q64" s="121"/>
      <c r="R64" s="84"/>
      <c r="S64" s="74"/>
      <c r="T64" s="74"/>
      <c r="U64" s="112"/>
      <c r="V64" s="74"/>
      <c r="W64" s="88"/>
      <c r="X64" s="77" t="s">
        <v>178</v>
      </c>
    </row>
    <row r="65" spans="1:24" ht="13">
      <c r="A65" s="615"/>
      <c r="B65" s="615"/>
      <c r="C65" s="198"/>
      <c r="D65" s="60"/>
      <c r="E65" s="67"/>
      <c r="F65" s="64"/>
      <c r="G65" s="279"/>
      <c r="H65" s="195"/>
      <c r="I65" s="74"/>
      <c r="J65" s="72"/>
      <c r="K65" s="74"/>
      <c r="L65" s="76"/>
      <c r="M65" s="76"/>
      <c r="N65" s="121"/>
      <c r="O65" s="121"/>
      <c r="P65" s="121"/>
      <c r="Q65" s="121"/>
      <c r="R65" s="84"/>
      <c r="S65" s="70"/>
      <c r="T65" s="74"/>
      <c r="U65" s="112"/>
      <c r="V65" s="74"/>
      <c r="W65" s="88"/>
      <c r="X65" s="77" t="s">
        <v>48</v>
      </c>
    </row>
    <row r="66" spans="1:24" ht="13">
      <c r="A66" s="616"/>
      <c r="B66" s="616"/>
      <c r="C66" s="323"/>
      <c r="D66" s="60"/>
      <c r="E66" s="67"/>
      <c r="F66" s="64"/>
      <c r="G66" s="279"/>
      <c r="H66" s="195"/>
      <c r="I66" s="74"/>
      <c r="J66" s="72"/>
      <c r="K66" s="74"/>
      <c r="L66" s="76"/>
      <c r="M66" s="76"/>
      <c r="N66" s="121"/>
      <c r="O66" s="121"/>
      <c r="P66" s="113"/>
      <c r="Q66" s="121"/>
      <c r="R66" s="84"/>
      <c r="S66" s="74"/>
      <c r="T66" s="74"/>
      <c r="U66" s="115"/>
      <c r="V66" s="74"/>
      <c r="W66" s="88"/>
    </row>
    <row r="67" spans="1:24" ht="15.75" customHeight="1">
      <c r="A67" s="616"/>
      <c r="B67" s="616"/>
      <c r="C67" s="323"/>
      <c r="D67" s="60"/>
      <c r="E67" s="67"/>
      <c r="F67" s="64"/>
      <c r="G67" s="279"/>
      <c r="H67" s="232"/>
      <c r="I67" s="74"/>
      <c r="J67" s="72"/>
      <c r="K67" s="74"/>
      <c r="L67" s="76"/>
      <c r="M67" s="76"/>
      <c r="N67" s="121"/>
      <c r="O67" s="121"/>
      <c r="P67" s="121"/>
      <c r="Q67" s="121"/>
      <c r="R67" s="84"/>
      <c r="S67" s="70"/>
      <c r="T67" s="74"/>
      <c r="U67" s="112"/>
      <c r="V67" s="74"/>
      <c r="W67" s="88"/>
      <c r="X67" s="77" t="s">
        <v>48</v>
      </c>
    </row>
    <row r="68" spans="1:24" ht="13">
      <c r="A68" s="615"/>
      <c r="B68" s="615"/>
      <c r="C68" s="198"/>
      <c r="D68" s="60"/>
      <c r="E68" s="67"/>
      <c r="F68" s="64"/>
      <c r="G68" s="279"/>
      <c r="H68" s="195"/>
      <c r="I68" s="74"/>
      <c r="J68" s="72"/>
      <c r="K68" s="74"/>
      <c r="L68" s="76"/>
      <c r="M68" s="76"/>
      <c r="N68" s="121"/>
      <c r="O68" s="121"/>
      <c r="P68" s="113"/>
      <c r="Q68" s="121"/>
      <c r="R68" s="84"/>
      <c r="S68" s="70"/>
      <c r="T68" s="74"/>
      <c r="U68" s="112"/>
      <c r="V68" s="74"/>
      <c r="W68" s="88"/>
    </row>
    <row r="69" spans="1:24" ht="13">
      <c r="A69" s="615"/>
      <c r="B69" s="615"/>
      <c r="C69" s="198"/>
      <c r="D69" s="60"/>
      <c r="E69" s="67"/>
      <c r="F69" s="64"/>
      <c r="G69" s="279"/>
      <c r="H69" s="195"/>
      <c r="I69" s="74"/>
      <c r="J69" s="72"/>
      <c r="K69" s="74"/>
      <c r="L69" s="76"/>
      <c r="M69" s="76"/>
      <c r="N69" s="121"/>
      <c r="O69" s="121"/>
      <c r="P69" s="121"/>
      <c r="Q69" s="121"/>
      <c r="R69" s="84"/>
      <c r="S69" s="70"/>
      <c r="T69" s="74"/>
      <c r="U69" s="112"/>
      <c r="V69" s="74"/>
      <c r="W69" s="88"/>
    </row>
    <row r="70" spans="1:24" ht="13">
      <c r="A70" s="616"/>
      <c r="B70" s="616"/>
      <c r="C70" s="323"/>
      <c r="D70" s="60"/>
      <c r="E70" s="67"/>
      <c r="F70" s="64"/>
      <c r="G70" s="279"/>
      <c r="H70" s="232"/>
      <c r="I70" s="74"/>
      <c r="J70" s="72"/>
      <c r="K70" s="74"/>
      <c r="L70" s="76"/>
      <c r="M70" s="76"/>
      <c r="N70" s="121"/>
      <c r="O70" s="121"/>
      <c r="P70" s="113"/>
      <c r="Q70" s="121"/>
      <c r="R70" s="84"/>
      <c r="S70" s="70"/>
      <c r="T70" s="74"/>
      <c r="U70" s="112"/>
      <c r="V70" s="74"/>
      <c r="W70" s="88"/>
      <c r="X70" s="77" t="s">
        <v>48</v>
      </c>
    </row>
    <row r="71" spans="1:24" ht="13">
      <c r="A71" s="615"/>
      <c r="B71" s="615"/>
      <c r="C71" s="198"/>
      <c r="D71" s="60"/>
      <c r="E71" s="67"/>
      <c r="F71" s="64"/>
      <c r="G71" s="279"/>
      <c r="H71" s="195"/>
      <c r="I71" s="74"/>
      <c r="J71" s="72"/>
      <c r="K71" s="74"/>
      <c r="L71" s="76"/>
      <c r="M71" s="76"/>
      <c r="N71" s="121"/>
      <c r="O71" s="121"/>
      <c r="P71" s="113"/>
      <c r="Q71" s="121"/>
      <c r="R71" s="84"/>
      <c r="S71" s="74"/>
      <c r="T71" s="74"/>
      <c r="U71" s="112"/>
      <c r="V71" s="74"/>
      <c r="W71" s="88"/>
    </row>
    <row r="72" spans="1:24" ht="13">
      <c r="A72" s="616"/>
      <c r="B72" s="616"/>
      <c r="C72" s="323"/>
      <c r="D72" s="60"/>
      <c r="E72" s="67"/>
      <c r="F72" s="64"/>
      <c r="G72" s="279"/>
      <c r="H72" s="195"/>
      <c r="I72" s="74"/>
      <c r="J72" s="72"/>
      <c r="K72" s="74"/>
      <c r="L72" s="76"/>
      <c r="M72" s="76"/>
      <c r="N72" s="113"/>
      <c r="O72" s="121"/>
      <c r="P72" s="113"/>
      <c r="Q72" s="121"/>
      <c r="R72" s="84"/>
      <c r="S72" s="74"/>
      <c r="T72" s="74"/>
      <c r="U72" s="115"/>
      <c r="V72" s="74"/>
      <c r="W72" s="88"/>
    </row>
    <row r="73" spans="1:24" ht="13">
      <c r="A73" s="616"/>
      <c r="B73" s="616"/>
      <c r="C73" s="323"/>
      <c r="D73" s="60"/>
      <c r="E73" s="67"/>
      <c r="F73" s="64"/>
      <c r="G73" s="279"/>
      <c r="H73" s="195"/>
      <c r="I73" s="74"/>
      <c r="J73" s="72"/>
      <c r="K73" s="74"/>
      <c r="L73" s="76"/>
      <c r="M73" s="76"/>
      <c r="N73" s="113"/>
      <c r="O73" s="121"/>
      <c r="P73" s="113"/>
      <c r="Q73" s="121"/>
      <c r="R73" s="84"/>
      <c r="S73" s="74"/>
      <c r="T73" s="74"/>
      <c r="U73" s="115"/>
      <c r="V73" s="74"/>
      <c r="W73" s="88"/>
    </row>
    <row r="74" spans="1:24" ht="13">
      <c r="A74" s="616"/>
      <c r="B74" s="616"/>
      <c r="C74" s="699"/>
      <c r="D74" s="282"/>
      <c r="E74" s="402"/>
      <c r="F74" s="284"/>
      <c r="G74" s="279"/>
      <c r="H74" s="195"/>
      <c r="I74" s="285"/>
      <c r="J74" s="286"/>
      <c r="K74" s="285"/>
      <c r="L74" s="203"/>
      <c r="M74" s="203"/>
      <c r="N74" s="113"/>
      <c r="O74" s="121"/>
      <c r="P74" s="113"/>
      <c r="Q74" s="121"/>
      <c r="R74" s="287"/>
      <c r="S74" s="74"/>
      <c r="T74" s="285"/>
      <c r="U74" s="288"/>
      <c r="V74" s="285"/>
      <c r="W74" s="289"/>
    </row>
    <row r="75" spans="1:24" ht="13" hidden="1">
      <c r="A75" s="207"/>
      <c r="B75" s="207"/>
      <c r="C75" s="207"/>
      <c r="D75" s="208"/>
      <c r="E75" s="209"/>
      <c r="F75" s="210"/>
      <c r="G75" s="194"/>
      <c r="H75" s="195"/>
      <c r="I75" s="77"/>
      <c r="J75" s="212"/>
      <c r="K75" s="77"/>
      <c r="L75" s="213"/>
      <c r="M75" s="213"/>
      <c r="N75" s="214"/>
      <c r="O75" s="214"/>
      <c r="P75" s="214"/>
      <c r="Q75" s="214"/>
      <c r="R75" s="215"/>
      <c r="S75" s="77"/>
      <c r="T75" s="77"/>
      <c r="U75" s="77"/>
      <c r="V75" s="77"/>
      <c r="W75" s="290"/>
    </row>
    <row r="76" spans="1:24" ht="13" hidden="1">
      <c r="A76" s="207"/>
      <c r="B76" s="207"/>
      <c r="C76" s="207"/>
      <c r="D76" s="208"/>
      <c r="E76" s="209"/>
      <c r="F76" s="210"/>
      <c r="G76" s="194"/>
      <c r="H76" s="195"/>
      <c r="I76" s="77"/>
      <c r="J76" s="212"/>
      <c r="K76" s="77"/>
      <c r="L76" s="213"/>
      <c r="M76" s="213"/>
      <c r="N76" s="214"/>
      <c r="O76" s="214"/>
      <c r="P76" s="214"/>
      <c r="Q76" s="214"/>
      <c r="R76" s="215"/>
      <c r="S76" s="77"/>
      <c r="T76" s="77"/>
      <c r="U76" s="77"/>
      <c r="V76" s="77"/>
      <c r="W76" s="290"/>
    </row>
    <row r="77" spans="1:24" ht="13" hidden="1">
      <c r="A77" s="207"/>
      <c r="B77" s="207"/>
      <c r="C77" s="207"/>
      <c r="D77" s="208"/>
      <c r="E77" s="209"/>
      <c r="F77" s="210"/>
      <c r="G77" s="194"/>
      <c r="H77" s="195"/>
      <c r="I77" s="77"/>
      <c r="J77" s="212"/>
      <c r="K77" s="77"/>
      <c r="L77" s="213"/>
      <c r="M77" s="213"/>
      <c r="N77" s="214"/>
      <c r="O77" s="214"/>
      <c r="P77" s="214"/>
      <c r="Q77" s="214"/>
      <c r="R77" s="215"/>
      <c r="S77" s="77"/>
      <c r="T77" s="77"/>
      <c r="U77" s="77"/>
      <c r="V77" s="77"/>
      <c r="W77" s="290"/>
    </row>
    <row r="78" spans="1:24" ht="13" hidden="1">
      <c r="A78" s="207"/>
      <c r="B78" s="207"/>
      <c r="C78" s="207"/>
      <c r="D78" s="208"/>
      <c r="E78" s="209"/>
      <c r="F78" s="210"/>
      <c r="G78" s="194"/>
      <c r="H78" s="195"/>
      <c r="I78" s="77"/>
      <c r="J78" s="212"/>
      <c r="K78" s="77"/>
      <c r="L78" s="213"/>
      <c r="M78" s="213"/>
      <c r="N78" s="214"/>
      <c r="O78" s="214"/>
      <c r="P78" s="214"/>
      <c r="Q78" s="214"/>
      <c r="R78" s="215"/>
      <c r="S78" s="77"/>
      <c r="T78" s="77"/>
      <c r="U78" s="77"/>
      <c r="V78" s="77"/>
      <c r="W78" s="290"/>
    </row>
    <row r="79" spans="1:24" ht="13" hidden="1">
      <c r="A79" s="207"/>
      <c r="B79" s="207"/>
      <c r="C79" s="207"/>
      <c r="D79" s="208"/>
      <c r="E79" s="209"/>
      <c r="F79" s="210"/>
      <c r="G79" s="194"/>
      <c r="H79" s="176"/>
      <c r="I79" s="77"/>
      <c r="J79" s="212"/>
      <c r="K79" s="77"/>
      <c r="L79" s="213"/>
      <c r="M79" s="213"/>
      <c r="N79" s="214"/>
      <c r="O79" s="214"/>
      <c r="P79" s="214"/>
      <c r="Q79" s="214"/>
      <c r="R79" s="215"/>
      <c r="S79" s="77"/>
      <c r="T79" s="77"/>
      <c r="U79" s="77"/>
      <c r="V79" s="77"/>
      <c r="W79" s="290"/>
    </row>
    <row r="80" spans="1:24" ht="13" hidden="1">
      <c r="A80" s="207"/>
      <c r="B80" s="207"/>
      <c r="C80" s="207"/>
      <c r="D80" s="208"/>
      <c r="E80" s="209"/>
      <c r="F80" s="210"/>
      <c r="G80" s="194"/>
      <c r="H80" s="195"/>
      <c r="I80" s="77"/>
      <c r="J80" s="212"/>
      <c r="K80" s="77"/>
      <c r="L80" s="213"/>
      <c r="M80" s="213"/>
      <c r="N80" s="214"/>
      <c r="O80" s="214"/>
      <c r="P80" s="214"/>
      <c r="Q80" s="214"/>
      <c r="R80" s="215"/>
      <c r="S80" s="77"/>
      <c r="T80" s="77"/>
      <c r="U80" s="77"/>
      <c r="V80" s="77"/>
      <c r="W80" s="290"/>
    </row>
    <row r="81" spans="1:23" ht="13" hidden="1">
      <c r="A81" s="207"/>
      <c r="B81" s="207"/>
      <c r="C81" s="207"/>
      <c r="D81" s="208"/>
      <c r="E81" s="209"/>
      <c r="F81" s="210"/>
      <c r="G81" s="194"/>
      <c r="H81" s="195"/>
      <c r="I81" s="77"/>
      <c r="J81" s="212"/>
      <c r="K81" s="77"/>
      <c r="L81" s="213"/>
      <c r="M81" s="213"/>
      <c r="N81" s="214"/>
      <c r="O81" s="214"/>
      <c r="P81" s="214"/>
      <c r="Q81" s="214"/>
      <c r="R81" s="215"/>
      <c r="S81" s="77"/>
      <c r="T81" s="77"/>
      <c r="U81" s="77"/>
      <c r="V81" s="77"/>
      <c r="W81" s="290"/>
    </row>
    <row r="82" spans="1:23" ht="13" hidden="1">
      <c r="A82" s="207"/>
      <c r="B82" s="207"/>
      <c r="C82" s="207"/>
      <c r="D82" s="208"/>
      <c r="E82" s="209"/>
      <c r="F82" s="210"/>
      <c r="G82" s="194"/>
      <c r="H82" s="195"/>
      <c r="I82" s="77"/>
      <c r="J82" s="212"/>
      <c r="K82" s="77"/>
      <c r="L82" s="213"/>
      <c r="M82" s="213"/>
      <c r="N82" s="214"/>
      <c r="O82" s="214"/>
      <c r="P82" s="214"/>
      <c r="Q82" s="214"/>
      <c r="R82" s="215"/>
      <c r="S82" s="77"/>
      <c r="T82" s="77"/>
      <c r="U82" s="77"/>
      <c r="V82" s="77"/>
      <c r="W82" s="290"/>
    </row>
    <row r="83" spans="1:23" ht="13" hidden="1">
      <c r="A83" s="207"/>
      <c r="B83" s="207"/>
      <c r="C83" s="207"/>
      <c r="D83" s="208"/>
      <c r="E83" s="209"/>
      <c r="F83" s="210"/>
      <c r="G83" s="194"/>
      <c r="H83" s="195"/>
      <c r="I83" s="77"/>
      <c r="J83" s="212"/>
      <c r="K83" s="77"/>
      <c r="L83" s="213"/>
      <c r="M83" s="213"/>
      <c r="N83" s="214"/>
      <c r="O83" s="214"/>
      <c r="P83" s="214"/>
      <c r="Q83" s="214"/>
      <c r="R83" s="215"/>
      <c r="S83" s="77"/>
      <c r="T83" s="77"/>
      <c r="U83" s="77"/>
      <c r="V83" s="77"/>
      <c r="W83" s="290"/>
    </row>
    <row r="84" spans="1:23" ht="13" hidden="1">
      <c r="A84" s="207"/>
      <c r="B84" s="207"/>
      <c r="C84" s="207"/>
      <c r="D84" s="208"/>
      <c r="E84" s="209"/>
      <c r="F84" s="210"/>
      <c r="G84" s="194"/>
      <c r="H84" s="195"/>
      <c r="I84" s="77"/>
      <c r="J84" s="212"/>
      <c r="K84" s="77"/>
      <c r="L84" s="213"/>
      <c r="M84" s="213"/>
      <c r="N84" s="214"/>
      <c r="O84" s="214"/>
      <c r="P84" s="214"/>
      <c r="Q84" s="214"/>
      <c r="R84" s="215"/>
      <c r="S84" s="77"/>
      <c r="T84" s="77"/>
      <c r="U84" s="77"/>
      <c r="V84" s="77"/>
      <c r="W84" s="290"/>
    </row>
    <row r="85" spans="1:23" ht="13" hidden="1">
      <c r="A85" s="207"/>
      <c r="B85" s="207"/>
      <c r="C85" s="207"/>
      <c r="D85" s="208"/>
      <c r="E85" s="209"/>
      <c r="F85" s="210"/>
      <c r="G85" s="194"/>
      <c r="H85" s="176"/>
      <c r="I85" s="77"/>
      <c r="J85" s="212"/>
      <c r="K85" s="77"/>
      <c r="L85" s="213"/>
      <c r="M85" s="213"/>
      <c r="N85" s="214"/>
      <c r="O85" s="214"/>
      <c r="P85" s="214"/>
      <c r="Q85" s="214"/>
      <c r="R85" s="215"/>
      <c r="S85" s="77"/>
      <c r="T85" s="77"/>
      <c r="U85" s="77"/>
      <c r="V85" s="77"/>
      <c r="W85" s="290"/>
    </row>
    <row r="86" spans="1:23" ht="13" hidden="1">
      <c r="A86" s="207"/>
      <c r="B86" s="207"/>
      <c r="C86" s="207"/>
      <c r="D86" s="208"/>
      <c r="E86" s="209"/>
      <c r="F86" s="210"/>
      <c r="G86" s="194"/>
      <c r="H86" s="195"/>
      <c r="I86" s="77"/>
      <c r="J86" s="212"/>
      <c r="K86" s="77"/>
      <c r="L86" s="213"/>
      <c r="M86" s="213"/>
      <c r="N86" s="214"/>
      <c r="O86" s="214"/>
      <c r="P86" s="214"/>
      <c r="Q86" s="214"/>
      <c r="R86" s="215"/>
      <c r="S86" s="77"/>
      <c r="T86" s="77"/>
      <c r="U86" s="77"/>
      <c r="V86" s="77"/>
      <c r="W86" s="290"/>
    </row>
    <row r="87" spans="1:23" ht="13" hidden="1">
      <c r="A87" s="207"/>
      <c r="B87" s="207"/>
      <c r="C87" s="207"/>
      <c r="D87" s="208"/>
      <c r="E87" s="209"/>
      <c r="F87" s="210"/>
      <c r="G87" s="217"/>
      <c r="H87" s="291"/>
      <c r="I87" s="77"/>
      <c r="J87" s="212"/>
      <c r="K87" s="77"/>
      <c r="L87" s="213"/>
      <c r="M87" s="213"/>
      <c r="N87" s="214"/>
      <c r="O87" s="214"/>
      <c r="P87" s="214"/>
      <c r="Q87" s="214"/>
      <c r="R87" s="215"/>
      <c r="S87" s="77"/>
      <c r="T87" s="77"/>
      <c r="U87" s="77"/>
      <c r="V87" s="77"/>
      <c r="W87" s="290"/>
    </row>
    <row r="88" spans="1:23" ht="13" hidden="1">
      <c r="A88" s="207"/>
      <c r="B88" s="207"/>
      <c r="C88" s="207"/>
      <c r="D88" s="208"/>
      <c r="E88" s="209"/>
      <c r="F88" s="210"/>
      <c r="G88" s="219"/>
      <c r="H88" s="219"/>
      <c r="I88" s="77"/>
      <c r="J88" s="212"/>
      <c r="K88" s="77"/>
      <c r="L88" s="213"/>
      <c r="M88" s="213"/>
      <c r="N88" s="214"/>
      <c r="O88" s="214"/>
      <c r="P88" s="214"/>
      <c r="Q88" s="214"/>
      <c r="R88" s="215"/>
      <c r="S88" s="77"/>
      <c r="T88" s="77"/>
      <c r="U88" s="77"/>
      <c r="V88" s="77"/>
      <c r="W88" s="290"/>
    </row>
    <row r="89" spans="1:23" ht="13" hidden="1">
      <c r="A89" s="207"/>
      <c r="B89" s="207"/>
      <c r="C89" s="207"/>
      <c r="D89" s="208"/>
      <c r="E89" s="209"/>
      <c r="F89" s="210"/>
      <c r="G89" s="219"/>
      <c r="H89" s="219"/>
      <c r="I89" s="77"/>
      <c r="J89" s="212"/>
      <c r="K89" s="77"/>
      <c r="L89" s="213"/>
      <c r="M89" s="213"/>
      <c r="N89" s="214"/>
      <c r="O89" s="214"/>
      <c r="P89" s="214"/>
      <c r="Q89" s="214"/>
      <c r="R89" s="215"/>
      <c r="S89" s="77"/>
      <c r="T89" s="77"/>
      <c r="U89" s="77"/>
      <c r="V89" s="77"/>
      <c r="W89" s="290"/>
    </row>
    <row r="90" spans="1:23" ht="13" hidden="1">
      <c r="A90" s="207"/>
      <c r="B90" s="207"/>
      <c r="C90" s="207"/>
      <c r="D90" s="208"/>
      <c r="E90" s="209"/>
      <c r="F90" s="210"/>
      <c r="G90" s="219"/>
      <c r="H90" s="219"/>
      <c r="I90" s="77"/>
      <c r="J90" s="212"/>
      <c r="K90" s="77"/>
      <c r="L90" s="213"/>
      <c r="M90" s="213"/>
      <c r="N90" s="214"/>
      <c r="O90" s="214"/>
      <c r="P90" s="214"/>
      <c r="Q90" s="214"/>
      <c r="R90" s="215"/>
      <c r="S90" s="77"/>
      <c r="T90" s="77"/>
      <c r="U90" s="77"/>
      <c r="V90" s="77"/>
      <c r="W90" s="290"/>
    </row>
    <row r="91" spans="1:23" ht="13" hidden="1">
      <c r="A91" s="207"/>
      <c r="B91" s="207"/>
      <c r="C91" s="207"/>
      <c r="D91" s="208"/>
      <c r="E91" s="209"/>
      <c r="F91" s="210"/>
      <c r="G91" s="219"/>
      <c r="H91" s="219"/>
      <c r="I91" s="77"/>
      <c r="J91" s="212"/>
      <c r="K91" s="77"/>
      <c r="L91" s="213"/>
      <c r="M91" s="213"/>
      <c r="N91" s="214"/>
      <c r="O91" s="214"/>
      <c r="P91" s="214"/>
      <c r="Q91" s="214"/>
      <c r="R91" s="215"/>
      <c r="S91" s="77"/>
      <c r="T91" s="77"/>
      <c r="U91" s="77"/>
      <c r="V91" s="77"/>
      <c r="W91" s="290"/>
    </row>
    <row r="92" spans="1:23" ht="13" hidden="1">
      <c r="A92" s="207"/>
      <c r="B92" s="207"/>
      <c r="C92" s="207"/>
      <c r="D92" s="208"/>
      <c r="E92" s="209"/>
      <c r="F92" s="210"/>
      <c r="G92" s="219"/>
      <c r="H92" s="219"/>
      <c r="I92" s="77"/>
      <c r="J92" s="212"/>
      <c r="K92" s="77"/>
      <c r="L92" s="213"/>
      <c r="M92" s="213"/>
      <c r="N92" s="214"/>
      <c r="O92" s="214"/>
      <c r="P92" s="214"/>
      <c r="Q92" s="214"/>
      <c r="R92" s="215"/>
      <c r="S92" s="77"/>
      <c r="T92" s="77"/>
      <c r="U92" s="77"/>
      <c r="V92" s="77"/>
      <c r="W92" s="290"/>
    </row>
    <row r="93" spans="1:23" ht="13" hidden="1">
      <c r="A93" s="207"/>
      <c r="B93" s="207"/>
      <c r="C93" s="207"/>
      <c r="D93" s="208"/>
      <c r="E93" s="209"/>
      <c r="F93" s="210"/>
      <c r="G93" s="219"/>
      <c r="H93" s="219"/>
      <c r="I93" s="77"/>
      <c r="J93" s="212"/>
      <c r="K93" s="77"/>
      <c r="L93" s="213"/>
      <c r="M93" s="213"/>
      <c r="N93" s="214"/>
      <c r="O93" s="214"/>
      <c r="P93" s="214"/>
      <c r="Q93" s="214"/>
      <c r="R93" s="215"/>
      <c r="S93" s="77"/>
      <c r="T93" s="77"/>
      <c r="U93" s="77"/>
      <c r="V93" s="77"/>
      <c r="W93" s="290"/>
    </row>
    <row r="94" spans="1:23" ht="13">
      <c r="A94" s="207"/>
      <c r="B94" s="207"/>
      <c r="C94" s="207"/>
      <c r="D94" s="208"/>
      <c r="E94" s="209"/>
      <c r="F94" s="210"/>
      <c r="G94" s="219"/>
      <c r="H94" s="219"/>
      <c r="I94" s="77"/>
      <c r="J94" s="212"/>
      <c r="K94" s="77"/>
      <c r="L94" s="213"/>
      <c r="M94" s="213"/>
      <c r="N94" s="214"/>
      <c r="O94" s="214"/>
      <c r="P94" s="214"/>
      <c r="Q94" s="214"/>
      <c r="R94" s="215"/>
      <c r="S94" s="77"/>
      <c r="T94" s="77"/>
      <c r="U94" s="77"/>
      <c r="V94" s="77"/>
      <c r="W94" s="290"/>
    </row>
    <row r="95" spans="1:23" ht="13">
      <c r="A95" s="207"/>
      <c r="B95" s="207"/>
      <c r="C95" s="207" t="s">
        <v>250</v>
      </c>
      <c r="D95" s="208"/>
      <c r="E95" s="209"/>
      <c r="F95" s="210"/>
      <c r="G95" s="219"/>
      <c r="H95" s="219"/>
      <c r="I95" s="77"/>
      <c r="J95" s="212"/>
      <c r="K95" s="77"/>
      <c r="L95" s="213"/>
      <c r="M95" s="213"/>
      <c r="N95" s="214"/>
      <c r="O95" s="214"/>
      <c r="P95" s="214"/>
      <c r="Q95" s="214"/>
      <c r="R95" s="215"/>
      <c r="S95" s="77"/>
      <c r="T95" s="77"/>
      <c r="U95" s="77"/>
      <c r="V95" s="77"/>
      <c r="W95" s="290"/>
    </row>
    <row r="96" spans="1:23" ht="15">
      <c r="A96" s="617" t="str">
        <f ca="1">IFERROR(__xludf.DUMMYFUNCTION("Query(A3:W37, ""where A = TRUE"",1)"),"")</f>
        <v/>
      </c>
      <c r="B96" s="617" t="str">
        <f ca="1">IFERROR(__xludf.DUMMYFUNCTION("""COMPUTED_VALUE"""),"TRUE")</f>
        <v>TRUE</v>
      </c>
      <c r="C96" s="207" t="str">
        <f ca="1">IFERROR(__xludf.DUMMYFUNCTION("""COMPUTED_VALUE"""),"Voigtlander 50mm F2 APO-Lanthar")</f>
        <v>Voigtlander 50mm F2 APO-Lanthar</v>
      </c>
      <c r="D96" s="208" t="str">
        <f ca="1">IFERROR(__xludf.DUMMYFUNCTION("""COMPUTED_VALUE"""),"364g")</f>
        <v>364g</v>
      </c>
      <c r="E96" s="209" t="str">
        <f ca="1">IFERROR(__xludf.DUMMYFUNCTION("""COMPUTED_VALUE"""),"50mm")</f>
        <v>50mm</v>
      </c>
      <c r="F96" s="210" t="str">
        <f ca="1">IFERROR(__xludf.DUMMYFUNCTION("""COMPUTED_VALUE"""),"f/2.0")</f>
        <v>f/2.0</v>
      </c>
      <c r="G96" s="219" t="str">
        <f ca="1">IFERROR(__xludf.DUMMYFUNCTION("""COMPUTED_VALUE"""),"63mm")</f>
        <v>63mm</v>
      </c>
      <c r="H96" s="219" t="str">
        <f ca="1">IFERROR(__xludf.DUMMYFUNCTION("""COMPUTED_VALUE"""),"61mm")</f>
        <v>61mm</v>
      </c>
      <c r="I96" s="77" t="str">
        <f ca="1">IFERROR(__xludf.DUMMYFUNCTION("""COMPUTED_VALUE"""),"MF")</f>
        <v>MF</v>
      </c>
      <c r="J96" s="212" t="str">
        <f ca="1">IFERROR(__xludf.DUMMYFUNCTION("""COMPUTED_VALUE"""),"49mm")</f>
        <v>49mm</v>
      </c>
      <c r="K96" s="77" t="str">
        <f ca="1">IFERROR(__xludf.DUMMYFUNCTION("""COMPUTED_VALUE"""),"")</f>
        <v/>
      </c>
      <c r="L96" s="213" t="str">
        <f ca="1">IFERROR(__xludf.DUMMYFUNCTION("""COMPUTED_VALUE"""),"$45")</f>
        <v>$45</v>
      </c>
      <c r="M96" s="213" t="str">
        <f ca="1">IFERROR(__xludf.DUMMYFUNCTION("""COMPUTED_VALUE"""),"no")</f>
        <v>no</v>
      </c>
      <c r="N96" s="214" t="str">
        <f ca="1">IFERROR(__xludf.DUMMYFUNCTION("""COMPUTED_VALUE"""),"12")</f>
        <v>12</v>
      </c>
      <c r="O96" s="214" t="str">
        <f ca="1">IFERROR(__xludf.DUMMYFUNCTION("""COMPUTED_VALUE"""),"10/8")</f>
        <v>10/8</v>
      </c>
      <c r="P96" s="214" t="str">
        <f ca="1">IFERROR(__xludf.DUMMYFUNCTION("""COMPUTED_VALUE"""),"Voigtlander")</f>
        <v>Voigtlander</v>
      </c>
      <c r="Q96" s="214" t="str">
        <f ca="1">IFERROR(__xludf.DUMMYFUNCTION("""COMPUTED_VALUE"""),"01/20")</f>
        <v>01/20</v>
      </c>
      <c r="R96" s="215" t="str">
        <f ca="1">IFERROR(__xludf.DUMMYFUNCTION("""COMPUTED_VALUE"""),"")</f>
        <v/>
      </c>
      <c r="S96" s="77" t="str">
        <f ca="1">IFERROR(__xludf.DUMMYFUNCTION("""COMPUTED_VALUE"""),"")</f>
        <v/>
      </c>
      <c r="T96" s="77" t="str">
        <f ca="1">IFERROR(__xludf.DUMMYFUNCTION("""COMPUTED_VALUE"""),"")</f>
        <v/>
      </c>
      <c r="U96" s="77" t="str">
        <f ca="1">IFERROR(__xludf.DUMMYFUNCTION("""COMPUTED_VALUE"""),"")</f>
        <v/>
      </c>
      <c r="V96" s="77" t="str">
        <f ca="1">IFERROR(__xludf.DUMMYFUNCTION("""COMPUTED_VALUE"""),"")</f>
        <v/>
      </c>
      <c r="W96" s="290" t="str">
        <f ca="1">IFERROR(__xludf.DUMMYFUNCTION("""COMPUTED_VALUE"""),"")</f>
        <v/>
      </c>
    </row>
    <row r="97" spans="1:23" ht="13">
      <c r="A97" s="207" t="b">
        <f ca="1">IFERROR(__xludf.DUMMYFUNCTION("""COMPUTED_VALUE"""),TRUE)</f>
        <v>1</v>
      </c>
      <c r="B97" s="207" t="b">
        <f ca="1">IFERROR(__xludf.DUMMYFUNCTION("""COMPUTED_VALUE"""),FALSE)</f>
        <v>0</v>
      </c>
      <c r="C97" s="207" t="str">
        <f ca="1">IFERROR(__xludf.DUMMYFUNCTION("""COMPUTED_VALUE"""),"Zeiss Loxia 50mm F2")</f>
        <v>Zeiss Loxia 50mm F2</v>
      </c>
      <c r="D97" s="208">
        <f ca="1">IFERROR(__xludf.DUMMYFUNCTION("""COMPUTED_VALUE"""),320)</f>
        <v>320</v>
      </c>
      <c r="E97" s="209">
        <f ca="1">IFERROR(__xludf.DUMMYFUNCTION("""COMPUTED_VALUE"""),50)</f>
        <v>50</v>
      </c>
      <c r="F97" s="210">
        <f ca="1">IFERROR(__xludf.DUMMYFUNCTION("""COMPUTED_VALUE"""),2)</f>
        <v>2</v>
      </c>
      <c r="G97" s="219">
        <f ca="1">IFERROR(__xludf.DUMMYFUNCTION("""COMPUTED_VALUE"""),62)</f>
        <v>62</v>
      </c>
      <c r="H97" s="219">
        <f ca="1">IFERROR(__xludf.DUMMYFUNCTION("""COMPUTED_VALUE"""),60)</f>
        <v>60</v>
      </c>
      <c r="I97" s="77" t="str">
        <f ca="1">IFERROR(__xludf.DUMMYFUNCTION("""COMPUTED_VALUE"""),"MF")</f>
        <v>MF</v>
      </c>
      <c r="J97" s="212" t="str">
        <f ca="1">IFERROR(__xludf.DUMMYFUNCTION("""COMPUTED_VALUE"""),"52mm")</f>
        <v>52mm</v>
      </c>
      <c r="K97" s="77">
        <f ca="1">IFERROR(__xludf.DUMMYFUNCTION("""COMPUTED_VALUE"""),0.15)</f>
        <v>0.15</v>
      </c>
      <c r="L97" s="213">
        <f ca="1">IFERROR(__xludf.DUMMYFUNCTION("""COMPUTED_VALUE"""),45)</f>
        <v>45</v>
      </c>
      <c r="M97" s="213" t="str">
        <f ca="1">IFERROR(__xludf.DUMMYFUNCTION("""COMPUTED_VALUE"""),"no")</f>
        <v>no</v>
      </c>
      <c r="N97" s="214">
        <f ca="1">IFERROR(__xludf.DUMMYFUNCTION("""COMPUTED_VALUE"""),10)</f>
        <v>10</v>
      </c>
      <c r="O97" s="564">
        <f ca="1">IFERROR(__xludf.DUMMYFUNCTION("""COMPUTED_VALUE"""),43561)</f>
        <v>43561</v>
      </c>
      <c r="P97" s="214" t="str">
        <f ca="1">IFERROR(__xludf.DUMMYFUNCTION("""COMPUTED_VALUE"""),"Zeiss")</f>
        <v>Zeiss</v>
      </c>
      <c r="Q97" s="700">
        <f ca="1">IFERROR(__xludf.DUMMYFUNCTION("""COMPUTED_VALUE"""),41913)</f>
        <v>41913</v>
      </c>
      <c r="R97" s="215">
        <f ca="1">IFERROR(__xludf.DUMMYFUNCTION("""COMPUTED_VALUE"""),949)</f>
        <v>949</v>
      </c>
      <c r="S97" s="77">
        <f ca="1">IFERROR(__xludf.DUMMYFUNCTION("""COMPUTED_VALUE"""),500)</f>
        <v>500</v>
      </c>
      <c r="T97" s="77" t="str">
        <f ca="1">IFERROR(__xludf.DUMMYFUNCTION("""COMPUTED_VALUE"""),"link*")</f>
        <v>link*</v>
      </c>
      <c r="U97" s="77" t="str">
        <f ca="1">IFERROR(__xludf.DUMMYFUNCTION("""COMPUTED_VALUE"""),"link*")</f>
        <v>link*</v>
      </c>
      <c r="V97" s="77" t="str">
        <f ca="1">IFERROR(__xludf.DUMMYFUNCTION("""COMPUTED_VALUE"""),"link*")</f>
        <v>link*</v>
      </c>
      <c r="W97" s="290" t="str">
        <f ca="1">IFERROR(__xludf.DUMMYFUNCTION("""COMPUTED_VALUE"""),"link*")</f>
        <v>link*</v>
      </c>
    </row>
    <row r="98" spans="1:23" ht="13">
      <c r="A98" s="207"/>
      <c r="B98" s="207"/>
      <c r="C98" s="207"/>
      <c r="D98" s="208"/>
      <c r="E98" s="209"/>
      <c r="F98" s="210"/>
      <c r="G98" s="219"/>
      <c r="H98" s="219"/>
      <c r="I98" s="77"/>
      <c r="J98" s="212"/>
      <c r="K98" s="77"/>
      <c r="L98" s="213"/>
      <c r="M98" s="213"/>
      <c r="N98" s="214"/>
      <c r="O98" s="214"/>
      <c r="P98" s="214"/>
      <c r="Q98" s="214"/>
      <c r="R98" s="215"/>
      <c r="S98" s="77"/>
      <c r="T98" s="77"/>
      <c r="U98" s="77"/>
      <c r="V98" s="77"/>
      <c r="W98" s="290"/>
    </row>
    <row r="99" spans="1:23" ht="13">
      <c r="A99" s="207"/>
      <c r="B99" s="207"/>
      <c r="C99" s="207"/>
      <c r="D99" s="208"/>
      <c r="E99" s="209"/>
      <c r="F99" s="210"/>
      <c r="G99" s="219"/>
      <c r="H99" s="219"/>
      <c r="I99" s="77"/>
      <c r="J99" s="212"/>
      <c r="K99" s="77"/>
      <c r="L99" s="213"/>
      <c r="M99" s="213"/>
      <c r="N99" s="214"/>
      <c r="O99" s="214"/>
      <c r="P99" s="214"/>
      <c r="Q99" s="214"/>
      <c r="R99" s="215"/>
      <c r="S99" s="77"/>
      <c r="T99" s="77"/>
      <c r="U99" s="77"/>
      <c r="V99" s="77"/>
      <c r="W99" s="290"/>
    </row>
    <row r="100" spans="1:23" ht="13">
      <c r="A100" s="207"/>
      <c r="B100" s="207"/>
      <c r="C100" s="207"/>
      <c r="D100" s="208"/>
      <c r="E100" s="209"/>
      <c r="F100" s="210"/>
      <c r="G100" s="219"/>
      <c r="H100" s="219"/>
      <c r="I100" s="77"/>
      <c r="J100" s="212"/>
      <c r="K100" s="77"/>
      <c r="L100" s="213"/>
      <c r="M100" s="213"/>
      <c r="N100" s="214"/>
      <c r="O100" s="214"/>
      <c r="P100" s="214"/>
      <c r="Q100" s="214"/>
      <c r="R100" s="215"/>
      <c r="S100" s="77"/>
      <c r="T100" s="77"/>
      <c r="U100" s="77"/>
      <c r="V100" s="77"/>
      <c r="W100" s="290"/>
    </row>
    <row r="101" spans="1:23" ht="13">
      <c r="A101" s="207"/>
      <c r="B101" s="207"/>
      <c r="C101" s="207"/>
      <c r="D101" s="208"/>
      <c r="E101" s="209"/>
      <c r="F101" s="210"/>
      <c r="G101" s="219"/>
      <c r="H101" s="219"/>
      <c r="I101" s="77"/>
      <c r="J101" s="212"/>
      <c r="K101" s="77"/>
      <c r="L101" s="213"/>
      <c r="M101" s="213"/>
      <c r="N101" s="214"/>
      <c r="O101" s="214"/>
      <c r="P101" s="214"/>
      <c r="Q101" s="214"/>
      <c r="R101" s="215"/>
      <c r="S101" s="77"/>
      <c r="T101" s="77"/>
      <c r="U101" s="77"/>
      <c r="V101" s="77"/>
      <c r="W101" s="290"/>
    </row>
    <row r="102" spans="1:23" ht="13">
      <c r="A102" s="207"/>
      <c r="B102" s="207"/>
      <c r="C102" s="207"/>
      <c r="D102" s="208"/>
      <c r="E102" s="209"/>
      <c r="F102" s="210"/>
      <c r="G102" s="219"/>
      <c r="H102" s="219"/>
      <c r="I102" s="77"/>
      <c r="J102" s="212"/>
      <c r="K102" s="77"/>
      <c r="L102" s="213"/>
      <c r="M102" s="213"/>
      <c r="N102" s="214"/>
      <c r="O102" s="214"/>
      <c r="P102" s="214"/>
      <c r="Q102" s="214"/>
      <c r="R102" s="215"/>
      <c r="S102" s="77"/>
      <c r="T102" s="77"/>
      <c r="U102" s="77"/>
      <c r="V102" s="77"/>
      <c r="W102" s="290"/>
    </row>
    <row r="103" spans="1:23" ht="13">
      <c r="A103" s="207"/>
      <c r="B103" s="207"/>
      <c r="C103" s="207"/>
      <c r="D103" s="208"/>
      <c r="E103" s="209"/>
      <c r="F103" s="210"/>
      <c r="G103" s="219"/>
      <c r="H103" s="219"/>
      <c r="I103" s="77"/>
      <c r="J103" s="212"/>
      <c r="K103" s="77"/>
      <c r="L103" s="213"/>
      <c r="M103" s="213"/>
      <c r="N103" s="214"/>
      <c r="O103" s="214"/>
      <c r="P103" s="214"/>
      <c r="Q103" s="214"/>
      <c r="R103" s="215"/>
      <c r="S103" s="77"/>
      <c r="T103" s="77"/>
      <c r="U103" s="77"/>
      <c r="V103" s="77"/>
      <c r="W103" s="290"/>
    </row>
    <row r="104" spans="1:23" ht="13">
      <c r="A104" s="207"/>
      <c r="B104" s="207"/>
      <c r="C104" s="207"/>
      <c r="D104" s="208"/>
      <c r="E104" s="209"/>
      <c r="F104" s="210"/>
      <c r="G104" s="219"/>
      <c r="H104" s="219"/>
      <c r="I104" s="77"/>
      <c r="J104" s="212"/>
      <c r="K104" s="77"/>
      <c r="L104" s="213"/>
      <c r="M104" s="213"/>
      <c r="N104" s="214"/>
      <c r="O104" s="214"/>
      <c r="P104" s="214"/>
      <c r="Q104" s="214"/>
      <c r="R104" s="215"/>
      <c r="S104" s="77"/>
      <c r="T104" s="77"/>
      <c r="U104" s="77"/>
      <c r="V104" s="77"/>
      <c r="W104" s="290"/>
    </row>
    <row r="105" spans="1:23" ht="15">
      <c r="A105" s="312"/>
      <c r="B105" s="312"/>
      <c r="C105" s="312" t="s">
        <v>207</v>
      </c>
      <c r="D105" s="313"/>
      <c r="E105" s="312"/>
      <c r="F105" s="312"/>
      <c r="G105" s="314"/>
      <c r="H105" s="315"/>
      <c r="I105" s="312"/>
      <c r="J105" s="316"/>
      <c r="K105" s="312"/>
      <c r="L105" s="312"/>
      <c r="M105" s="312"/>
      <c r="N105" s="317"/>
      <c r="O105" s="317"/>
      <c r="P105" s="317"/>
      <c r="Q105" s="317"/>
      <c r="R105" s="312"/>
      <c r="S105" s="312"/>
      <c r="T105" s="312"/>
      <c r="U105" s="312"/>
      <c r="V105" s="312"/>
      <c r="W105" s="312"/>
    </row>
    <row r="106" spans="1:23" ht="15">
      <c r="A106" s="223"/>
      <c r="B106" s="223"/>
      <c r="C106" s="223" t="s">
        <v>136</v>
      </c>
      <c r="D106" s="318">
        <f ca="1">COUNT(D2:D93)</f>
        <v>4</v>
      </c>
      <c r="F106" s="77"/>
      <c r="G106" s="219"/>
      <c r="H106" s="220"/>
      <c r="I106" s="77"/>
      <c r="J106" s="212"/>
      <c r="K106" s="77"/>
      <c r="L106" s="77"/>
      <c r="M106" s="77"/>
      <c r="N106" s="214"/>
      <c r="O106" s="214"/>
      <c r="P106" s="214"/>
      <c r="Q106" s="214"/>
      <c r="R106" s="77"/>
      <c r="S106" s="77"/>
      <c r="T106" s="77"/>
      <c r="U106" s="77"/>
      <c r="V106" s="77"/>
      <c r="W106" s="77"/>
    </row>
    <row r="107" spans="1:23" ht="13">
      <c r="A107" s="225"/>
      <c r="B107" s="225"/>
      <c r="C107" s="225" t="s">
        <v>251</v>
      </c>
      <c r="G107" s="219"/>
      <c r="H107" s="220"/>
      <c r="J107" s="226"/>
      <c r="N107" s="214"/>
      <c r="O107" s="214"/>
      <c r="P107" s="214"/>
      <c r="Q107" s="214"/>
    </row>
    <row r="108" spans="1:23" ht="13">
      <c r="A108" s="207"/>
      <c r="B108" s="207"/>
      <c r="C108" s="207"/>
      <c r="D108" s="77"/>
      <c r="E108" s="77"/>
      <c r="F108" s="77"/>
      <c r="G108" s="219"/>
      <c r="H108" s="220"/>
      <c r="I108" s="77"/>
      <c r="J108" s="212"/>
      <c r="K108" s="77"/>
      <c r="L108" s="77"/>
      <c r="M108" s="77"/>
      <c r="N108" s="214"/>
      <c r="O108" s="214"/>
      <c r="P108" s="214"/>
      <c r="Q108" s="214"/>
      <c r="R108" s="77"/>
      <c r="S108" s="77"/>
      <c r="T108" s="77"/>
      <c r="U108" s="77"/>
      <c r="V108" s="77"/>
      <c r="W108" s="77"/>
    </row>
    <row r="109" spans="1:23" ht="13">
      <c r="A109" s="623"/>
      <c r="B109" s="623"/>
      <c r="C109" s="319" t="str">
        <f>HYPERLINK("https://phillipreeve.net/blog/sony-fe-lenses/fe-list/","If you have a question or want to report any mistake please leave a comment on the blog.")</f>
        <v>If you have a question or want to report any mistake please leave a comment on the blog.</v>
      </c>
      <c r="D109" s="228"/>
      <c r="E109" s="228"/>
      <c r="F109" s="228"/>
      <c r="G109" s="229"/>
      <c r="H109" s="230"/>
      <c r="I109" s="228"/>
      <c r="J109" s="231"/>
      <c r="K109" s="228"/>
      <c r="L109" s="228"/>
      <c r="M109" s="228"/>
      <c r="N109" s="214"/>
      <c r="O109" s="214"/>
      <c r="P109" s="214"/>
      <c r="Q109" s="214"/>
    </row>
    <row r="110" spans="1:23" ht="13">
      <c r="G110" s="219"/>
      <c r="H110" s="220"/>
      <c r="J110" s="226"/>
      <c r="N110" s="214"/>
      <c r="O110" s="214"/>
      <c r="P110" s="214"/>
      <c r="Q110" s="214"/>
    </row>
    <row r="111" spans="1:23" ht="13">
      <c r="A111" s="207"/>
      <c r="B111" s="207"/>
      <c r="C111" s="207" t="s">
        <v>139</v>
      </c>
      <c r="G111" s="219"/>
      <c r="H111" s="220"/>
      <c r="J111" s="226"/>
      <c r="N111" s="214"/>
      <c r="O111" s="214"/>
      <c r="P111" s="214"/>
      <c r="Q111" s="214"/>
    </row>
    <row r="112" spans="1:23" ht="13">
      <c r="A112" s="160"/>
      <c r="B112" s="160"/>
      <c r="C112" s="170" t="str">
        <f>HYPERLINK("https://phillipreeve.net/blog/fe-lenses-sony-comprehensive-independent-guide/","Our Guide to FE-mount lenses - If you need any help on finding the right lens.")</f>
        <v>Our Guide to FE-mount lenses - If you need any help on finding the right lens.</v>
      </c>
      <c r="G112" s="219"/>
      <c r="H112" s="220"/>
      <c r="J112" s="226"/>
      <c r="N112" s="214"/>
      <c r="O112" s="214"/>
      <c r="P112" s="214"/>
      <c r="Q112" s="214"/>
    </row>
    <row r="113" spans="1:17" ht="13">
      <c r="A113" s="160"/>
      <c r="B113" s="160"/>
      <c r="C113" s="170" t="str">
        <f>HYPERLINK("https://phillipreeve.net/blog/9-golden-rules-to-buy-the-wrong-lens/","10 golden rules to buy the wrong lens.")</f>
        <v>10 golden rules to buy the wrong lens.</v>
      </c>
      <c r="G113" s="219"/>
      <c r="H113" s="220"/>
      <c r="J113" s="226"/>
      <c r="N113" s="214"/>
      <c r="O113" s="214"/>
      <c r="P113" s="214"/>
      <c r="Q113" s="214"/>
    </row>
    <row r="114" spans="1:17" ht="13">
      <c r="A114" s="160"/>
      <c r="B114" s="160"/>
      <c r="C114" s="170" t="str">
        <f>HYPERLINK("https://phillipreeve.net/blog/user-guide-ultra-wideangle-lenses-sony-alpha-7-series/","Our Guide to Ultra-Wideangle lenses")</f>
        <v>Our Guide to Ultra-Wideangle lenses</v>
      </c>
      <c r="G114" s="219"/>
      <c r="H114" s="220"/>
      <c r="J114" s="226"/>
      <c r="N114" s="214"/>
      <c r="O114" s="214"/>
      <c r="P114" s="214"/>
      <c r="Q114" s="214"/>
    </row>
    <row r="115" spans="1:17" ht="13">
      <c r="A115" s="160"/>
      <c r="B115" s="160"/>
      <c r="C115" s="170" t="str">
        <f>HYPERLINK("https://phillipreeve.net/blog/wideangle-lenses-for-the-sony-alpha-7-series/","Our Guide to Wideangle lenses")</f>
        <v>Our Guide to Wideangle lenses</v>
      </c>
      <c r="G115" s="219"/>
      <c r="H115" s="220"/>
      <c r="J115" s="226"/>
      <c r="N115" s="214"/>
      <c r="O115" s="214"/>
      <c r="P115" s="214"/>
      <c r="Q115" s="214"/>
    </row>
    <row r="116" spans="1:17" ht="13">
      <c r="A116" s="160"/>
      <c r="B116" s="160"/>
      <c r="C116" s="170" t="str">
        <f>HYPERLINK("https://phillipreeve.net/blog/guide-to-macro-lenses-for-the-sony-a7-series/","Our Guide to Macro lenses")</f>
        <v>Our Guide to Macro lenses</v>
      </c>
      <c r="G116" s="219"/>
      <c r="H116" s="220"/>
      <c r="J116" s="226"/>
      <c r="N116" s="214"/>
      <c r="O116" s="214"/>
      <c r="P116" s="214"/>
      <c r="Q116" s="214"/>
    </row>
    <row r="117" spans="1:17" ht="13">
      <c r="A117" s="160"/>
      <c r="B117" s="160"/>
      <c r="C117" s="170" t="str">
        <f>HYPERLINK("https://phillipreeve.net/blog/user-guide-to-portrait-lenses-sony-a7-series/","Our Guide to Portrait lenses")</f>
        <v>Our Guide to Portrait lenses</v>
      </c>
      <c r="G117" s="219"/>
      <c r="H117" s="220"/>
      <c r="J117" s="226"/>
      <c r="N117" s="214"/>
      <c r="O117" s="214"/>
      <c r="P117" s="214"/>
      <c r="Q117" s="214"/>
    </row>
    <row r="118" spans="1:17" ht="13">
      <c r="A118" s="160"/>
      <c r="B118" s="160"/>
      <c r="C118" s="170" t="str">
        <f>HYPERLINK("https://phillipreeve.net/blog/building-a-lens-kit/","Building a lens kit")</f>
        <v>Building a lens kit</v>
      </c>
      <c r="G118" s="219"/>
      <c r="H118" s="220"/>
      <c r="J118" s="226"/>
      <c r="N118" s="214"/>
      <c r="O118" s="214"/>
      <c r="P118" s="214"/>
      <c r="Q118" s="214"/>
    </row>
    <row r="119" spans="1:17" ht="13">
      <c r="A119" s="77"/>
      <c r="B119" s="77"/>
      <c r="C119" s="77"/>
      <c r="J119" s="226"/>
      <c r="N119" s="214"/>
      <c r="O119" s="214"/>
      <c r="P119" s="214"/>
      <c r="Q119" s="214"/>
    </row>
    <row r="120" spans="1:17" ht="13">
      <c r="A120" s="207"/>
      <c r="B120" s="207"/>
      <c r="C120" s="207" t="s">
        <v>201</v>
      </c>
      <c r="J120" s="226"/>
      <c r="N120" s="214"/>
      <c r="O120" s="214"/>
      <c r="P120" s="214"/>
      <c r="Q120" s="214"/>
    </row>
    <row r="121" spans="1:17" ht="13">
      <c r="A121" s="77"/>
      <c r="B121" s="77"/>
      <c r="C121" s="77" t="s">
        <v>202</v>
      </c>
      <c r="J121" s="226"/>
      <c r="N121" s="214"/>
      <c r="O121" s="214"/>
      <c r="P121" s="214"/>
      <c r="Q121" s="214"/>
    </row>
    <row r="122" spans="1:17" ht="13">
      <c r="A122" s="77"/>
      <c r="B122" s="77"/>
      <c r="C122" s="77" t="s">
        <v>203</v>
      </c>
      <c r="J122" s="226"/>
      <c r="N122" s="214"/>
      <c r="O122" s="214"/>
      <c r="P122" s="214"/>
      <c r="Q122" s="214"/>
    </row>
    <row r="123" spans="1:17" ht="13">
      <c r="A123" s="77"/>
      <c r="B123" s="77"/>
      <c r="C123" s="77" t="s">
        <v>204</v>
      </c>
      <c r="J123" s="226"/>
      <c r="N123" s="214"/>
      <c r="O123" s="214"/>
      <c r="P123" s="214"/>
      <c r="Q123" s="214"/>
    </row>
    <row r="124" spans="1:17" ht="13">
      <c r="A124" s="77"/>
      <c r="B124" s="77"/>
      <c r="C124" s="77" t="s">
        <v>205</v>
      </c>
      <c r="J124" s="226"/>
      <c r="N124" s="214"/>
      <c r="O124" s="214"/>
      <c r="P124" s="214"/>
      <c r="Q124" s="214"/>
    </row>
    <row r="125" spans="1:17" ht="13">
      <c r="A125" s="233"/>
      <c r="B125" s="233"/>
      <c r="C125" s="233"/>
      <c r="J125" s="226"/>
      <c r="N125" s="214"/>
      <c r="O125" s="214"/>
      <c r="P125" s="214"/>
      <c r="Q125" s="214"/>
    </row>
    <row r="126" spans="1:17" ht="13">
      <c r="A126" s="207"/>
      <c r="B126" s="207"/>
      <c r="C126" s="207" t="s">
        <v>142</v>
      </c>
      <c r="J126" s="226"/>
      <c r="N126" s="214"/>
      <c r="O126" s="214"/>
      <c r="P126" s="214"/>
      <c r="Q126" s="214"/>
    </row>
    <row r="127" spans="1:17" ht="13">
      <c r="A127" s="77"/>
      <c r="B127" s="77"/>
      <c r="C127" s="77" t="s">
        <v>206</v>
      </c>
      <c r="F127" s="233"/>
      <c r="J127" s="226"/>
      <c r="N127" s="214"/>
      <c r="O127" s="214"/>
      <c r="P127" s="214"/>
      <c r="Q127" s="214"/>
    </row>
    <row r="128" spans="1:17" ht="13">
      <c r="A128" s="77"/>
      <c r="B128" s="77"/>
      <c r="C128" s="77" t="s">
        <v>144</v>
      </c>
      <c r="F128" s="233"/>
      <c r="J128" s="226"/>
      <c r="N128" s="214"/>
      <c r="O128" s="214"/>
      <c r="P128" s="214"/>
      <c r="Q128" s="214"/>
    </row>
    <row r="129" spans="1:17" ht="13">
      <c r="J129" s="226"/>
      <c r="N129" s="214"/>
      <c r="O129" s="214"/>
      <c r="P129" s="214"/>
      <c r="Q129" s="214"/>
    </row>
    <row r="130" spans="1:17" ht="13">
      <c r="A130" s="160"/>
      <c r="B130" s="160"/>
      <c r="C130" s="170" t="str">
        <f>HYPERLINK("https://phillipreeve.net/blog/impressum/","Impressum")</f>
        <v>Impressum</v>
      </c>
      <c r="J130" s="226"/>
      <c r="N130" s="214"/>
      <c r="O130" s="214"/>
      <c r="P130" s="214"/>
      <c r="Q130" s="214"/>
    </row>
    <row r="131" spans="1:17" ht="13">
      <c r="J131" s="226"/>
      <c r="N131" s="214"/>
      <c r="O131" s="214"/>
      <c r="P131" s="214"/>
      <c r="Q131" s="214"/>
    </row>
    <row r="132" spans="1:17" ht="13">
      <c r="J132" s="226"/>
      <c r="N132" s="214"/>
      <c r="O132" s="214"/>
      <c r="P132" s="214"/>
      <c r="Q132" s="214"/>
    </row>
    <row r="133" spans="1:17" ht="13">
      <c r="J133" s="226"/>
      <c r="N133" s="214"/>
      <c r="O133" s="214"/>
      <c r="P133" s="214"/>
      <c r="Q133" s="214"/>
    </row>
    <row r="134" spans="1:17" ht="13">
      <c r="J134" s="226"/>
      <c r="N134" s="214"/>
      <c r="O134" s="214"/>
      <c r="P134" s="214"/>
      <c r="Q134" s="214"/>
    </row>
    <row r="135" spans="1:17" ht="13">
      <c r="J135" s="226"/>
      <c r="N135" s="214"/>
      <c r="O135" s="214"/>
      <c r="P135" s="214"/>
      <c r="Q135" s="214"/>
    </row>
    <row r="136" spans="1:17" ht="13">
      <c r="A136" s="207"/>
      <c r="B136" s="207"/>
      <c r="C136" s="207"/>
      <c r="J136" s="226"/>
      <c r="N136" s="214"/>
      <c r="O136" s="214"/>
      <c r="P136" s="214"/>
      <c r="Q136" s="214"/>
    </row>
    <row r="137" spans="1:17" ht="13">
      <c r="A137" s="207"/>
      <c r="B137" s="207"/>
      <c r="C137" s="207"/>
      <c r="J137" s="226"/>
      <c r="N137" s="214"/>
      <c r="O137" s="214"/>
      <c r="P137" s="214"/>
      <c r="Q137" s="214"/>
    </row>
    <row r="138" spans="1:17" ht="13">
      <c r="A138" s="207"/>
      <c r="B138" s="207"/>
      <c r="C138" s="207"/>
      <c r="J138" s="226"/>
      <c r="N138" s="214"/>
      <c r="O138" s="214"/>
      <c r="P138" s="214"/>
      <c r="Q138" s="214"/>
    </row>
    <row r="139" spans="1:17" ht="13">
      <c r="A139" s="207"/>
      <c r="B139" s="207"/>
      <c r="C139" s="207"/>
      <c r="J139" s="226"/>
      <c r="N139" s="214"/>
      <c r="O139" s="214"/>
      <c r="P139" s="214"/>
      <c r="Q139" s="214"/>
    </row>
    <row r="140" spans="1:17" ht="13">
      <c r="A140" s="207"/>
      <c r="B140" s="207"/>
      <c r="C140" s="207"/>
      <c r="J140" s="226"/>
      <c r="N140" s="214"/>
      <c r="O140" s="214"/>
      <c r="P140" s="214"/>
      <c r="Q140" s="214"/>
    </row>
    <row r="141" spans="1:17" ht="13">
      <c r="A141" s="207"/>
      <c r="B141" s="207"/>
      <c r="C141" s="207"/>
      <c r="J141" s="226"/>
      <c r="N141" s="214"/>
      <c r="O141" s="214"/>
      <c r="P141" s="214"/>
      <c r="Q141" s="214"/>
    </row>
    <row r="142" spans="1:17" ht="13">
      <c r="A142" s="233"/>
      <c r="B142" s="233"/>
      <c r="C142" s="233"/>
      <c r="J142" s="226"/>
      <c r="N142" s="214"/>
      <c r="O142" s="214"/>
      <c r="P142" s="214"/>
      <c r="Q142" s="214"/>
    </row>
    <row r="143" spans="1:17" ht="13">
      <c r="A143" s="207"/>
      <c r="B143" s="207"/>
      <c r="C143" s="207"/>
      <c r="J143" s="226"/>
      <c r="N143" s="214"/>
      <c r="O143" s="214"/>
      <c r="P143" s="214"/>
      <c r="Q143" s="214"/>
    </row>
    <row r="144" spans="1:17" ht="13">
      <c r="A144" s="207"/>
      <c r="B144" s="207"/>
      <c r="C144" s="207"/>
      <c r="J144" s="226"/>
      <c r="N144" s="214"/>
      <c r="O144" s="214"/>
      <c r="P144" s="214"/>
      <c r="Q144" s="214"/>
    </row>
    <row r="145" spans="1:17" ht="13">
      <c r="A145" s="233"/>
      <c r="B145" s="233"/>
      <c r="C145" s="233"/>
      <c r="J145" s="226"/>
      <c r="N145" s="214"/>
      <c r="O145" s="214"/>
      <c r="P145" s="214"/>
      <c r="Q145" s="214"/>
    </row>
    <row r="146" spans="1:17" ht="13">
      <c r="A146" s="207"/>
      <c r="B146" s="207"/>
      <c r="C146" s="207"/>
      <c r="J146" s="226"/>
      <c r="N146" s="214"/>
      <c r="O146" s="214"/>
      <c r="P146" s="214"/>
      <c r="Q146" s="214"/>
    </row>
    <row r="147" spans="1:17" ht="13">
      <c r="A147" s="207"/>
      <c r="B147" s="207"/>
      <c r="C147" s="207"/>
      <c r="J147" s="226"/>
      <c r="N147" s="214"/>
      <c r="O147" s="214"/>
      <c r="P147" s="214"/>
      <c r="Q147" s="214"/>
    </row>
    <row r="148" spans="1:17" ht="13">
      <c r="A148" s="207"/>
      <c r="B148" s="207"/>
      <c r="C148" s="207"/>
      <c r="J148" s="226"/>
      <c r="N148" s="214"/>
      <c r="O148" s="214"/>
      <c r="P148" s="214"/>
      <c r="Q148" s="214"/>
    </row>
    <row r="149" spans="1:17" ht="13">
      <c r="A149" s="207"/>
      <c r="B149" s="207"/>
      <c r="C149" s="207"/>
      <c r="J149" s="226"/>
      <c r="N149" s="214"/>
      <c r="O149" s="214"/>
      <c r="P149" s="214"/>
      <c r="Q149" s="214"/>
    </row>
    <row r="150" spans="1:17" ht="13">
      <c r="A150" s="207"/>
      <c r="B150" s="207"/>
      <c r="C150" s="207"/>
      <c r="J150" s="226"/>
      <c r="N150" s="214"/>
      <c r="O150" s="214"/>
      <c r="P150" s="214"/>
      <c r="Q150" s="214"/>
    </row>
    <row r="151" spans="1:17" ht="13">
      <c r="A151" s="207"/>
      <c r="B151" s="207"/>
      <c r="C151" s="207"/>
      <c r="J151" s="226"/>
      <c r="N151" s="214"/>
      <c r="O151" s="214"/>
      <c r="P151" s="214"/>
      <c r="Q151" s="214"/>
    </row>
    <row r="152" spans="1:17" ht="13">
      <c r="A152" s="207"/>
      <c r="B152" s="207"/>
      <c r="C152" s="207"/>
      <c r="J152" s="226"/>
      <c r="N152" s="214"/>
      <c r="O152" s="214"/>
      <c r="P152" s="214"/>
      <c r="Q152" s="214"/>
    </row>
    <row r="153" spans="1:17" ht="13">
      <c r="A153" s="207"/>
      <c r="B153" s="207"/>
      <c r="C153" s="207"/>
      <c r="J153" s="226"/>
      <c r="N153" s="214"/>
      <c r="O153" s="214"/>
      <c r="P153" s="214"/>
      <c r="Q153" s="214"/>
    </row>
    <row r="154" spans="1:17" ht="13">
      <c r="A154" s="207"/>
      <c r="B154" s="207"/>
      <c r="C154" s="207"/>
      <c r="J154" s="226"/>
      <c r="N154" s="214"/>
      <c r="O154" s="214"/>
      <c r="P154" s="214"/>
      <c r="Q154" s="214"/>
    </row>
    <row r="155" spans="1:17" ht="13">
      <c r="A155" s="233"/>
      <c r="B155" s="233"/>
      <c r="C155" s="233"/>
      <c r="J155" s="226"/>
      <c r="N155" s="214"/>
      <c r="O155" s="214"/>
      <c r="P155" s="214"/>
      <c r="Q155" s="214"/>
    </row>
    <row r="156" spans="1:17" ht="13">
      <c r="A156" s="233"/>
      <c r="B156" s="233"/>
      <c r="C156" s="233"/>
      <c r="J156" s="226"/>
      <c r="N156" s="214"/>
      <c r="O156" s="214"/>
      <c r="P156" s="214"/>
      <c r="Q156" s="214"/>
    </row>
    <row r="157" spans="1:17" ht="13">
      <c r="J157" s="226"/>
      <c r="N157" s="214"/>
      <c r="O157" s="214"/>
      <c r="P157" s="214"/>
      <c r="Q157" s="214"/>
    </row>
    <row r="158" spans="1:17" ht="13">
      <c r="J158" s="226"/>
      <c r="N158" s="214"/>
      <c r="O158" s="214"/>
      <c r="P158" s="214"/>
      <c r="Q158" s="214"/>
    </row>
    <row r="159" spans="1:17" ht="13">
      <c r="J159" s="226"/>
      <c r="N159" s="214"/>
      <c r="O159" s="214"/>
      <c r="P159" s="214"/>
      <c r="Q159" s="214"/>
    </row>
    <row r="160" spans="1:17" ht="13">
      <c r="J160" s="226"/>
      <c r="N160" s="214"/>
      <c r="O160" s="214"/>
      <c r="P160" s="214"/>
      <c r="Q160" s="214"/>
    </row>
    <row r="161" spans="10:10" ht="13">
      <c r="J161" s="226"/>
    </row>
    <row r="162" spans="10:10" ht="13">
      <c r="J162" s="226"/>
    </row>
    <row r="163" spans="10:10" ht="13">
      <c r="J163" s="226"/>
    </row>
    <row r="164" spans="10:10" ht="13">
      <c r="J164" s="226"/>
    </row>
    <row r="165" spans="10:10" ht="13">
      <c r="J165" s="226"/>
    </row>
    <row r="166" spans="10:10" ht="13">
      <c r="J166" s="226"/>
    </row>
    <row r="167" spans="10:10" ht="13">
      <c r="J167" s="226"/>
    </row>
    <row r="168" spans="10:10" ht="13">
      <c r="J168" s="226"/>
    </row>
    <row r="169" spans="10:10" ht="13">
      <c r="J169" s="226"/>
    </row>
    <row r="170" spans="10:10" ht="13">
      <c r="J170" s="226"/>
    </row>
    <row r="171" spans="10:10" ht="13">
      <c r="J171" s="226"/>
    </row>
    <row r="172" spans="10:10" ht="13">
      <c r="J172" s="226"/>
    </row>
    <row r="173" spans="10:10" ht="13">
      <c r="J173" s="226"/>
    </row>
    <row r="174" spans="10:10" ht="13">
      <c r="J174" s="226"/>
    </row>
    <row r="175" spans="10:10" ht="13">
      <c r="J175" s="226"/>
    </row>
    <row r="176" spans="10:10" ht="13">
      <c r="J176" s="226"/>
    </row>
    <row r="177" spans="10:10" ht="13">
      <c r="J177" s="226"/>
    </row>
    <row r="178" spans="10:10" ht="13">
      <c r="J178" s="226"/>
    </row>
    <row r="179" spans="10:10" ht="13">
      <c r="J179" s="226"/>
    </row>
    <row r="180" spans="10:10" ht="13">
      <c r="J180" s="226"/>
    </row>
    <row r="181" spans="10:10" ht="13">
      <c r="J181" s="226"/>
    </row>
    <row r="182" spans="10:10" ht="13">
      <c r="J182" s="226"/>
    </row>
    <row r="183" spans="10:10" ht="13">
      <c r="J183" s="226"/>
    </row>
    <row r="184" spans="10:10" ht="13">
      <c r="J184" s="226"/>
    </row>
    <row r="185" spans="10:10" ht="13">
      <c r="J185" s="226"/>
    </row>
    <row r="186" spans="10:10" ht="13">
      <c r="J186" s="226"/>
    </row>
    <row r="187" spans="10:10" ht="13">
      <c r="J187" s="226"/>
    </row>
    <row r="188" spans="10:10" ht="13">
      <c r="J188" s="226"/>
    </row>
    <row r="189" spans="10:10" ht="13">
      <c r="J189" s="226"/>
    </row>
    <row r="190" spans="10:10" ht="13">
      <c r="J190" s="226"/>
    </row>
    <row r="191" spans="10:10" ht="13">
      <c r="J191" s="226"/>
    </row>
    <row r="192" spans="10:10" ht="13">
      <c r="J192" s="226"/>
    </row>
    <row r="193" spans="10:10" ht="13">
      <c r="J193" s="226"/>
    </row>
    <row r="194" spans="10:10" ht="13">
      <c r="J194" s="226"/>
    </row>
    <row r="195" spans="10:10" ht="13">
      <c r="J195" s="226"/>
    </row>
    <row r="196" spans="10:10" ht="13">
      <c r="J196" s="226"/>
    </row>
    <row r="197" spans="10:10" ht="13">
      <c r="J197" s="226"/>
    </row>
    <row r="198" spans="10:10" ht="13">
      <c r="J198" s="226"/>
    </row>
    <row r="199" spans="10:10" ht="13">
      <c r="J199" s="226"/>
    </row>
    <row r="200" spans="10:10" ht="13">
      <c r="J200" s="226"/>
    </row>
    <row r="201" spans="10:10" ht="13">
      <c r="J201" s="226"/>
    </row>
    <row r="202" spans="10:10" ht="13">
      <c r="J202" s="226"/>
    </row>
    <row r="203" spans="10:10" ht="13">
      <c r="J203" s="226"/>
    </row>
    <row r="204" spans="10:10" ht="13">
      <c r="J204" s="226"/>
    </row>
    <row r="205" spans="10:10" ht="13">
      <c r="J205" s="226"/>
    </row>
    <row r="206" spans="10:10" ht="13">
      <c r="J206" s="226"/>
    </row>
    <row r="207" spans="10:10" ht="13">
      <c r="J207" s="226"/>
    </row>
    <row r="208" spans="10:10" ht="13">
      <c r="J208" s="226"/>
    </row>
    <row r="209" spans="10:10" ht="13">
      <c r="J209" s="226"/>
    </row>
    <row r="210" spans="10:10" ht="13">
      <c r="J210" s="226"/>
    </row>
    <row r="211" spans="10:10" ht="13">
      <c r="J211" s="226"/>
    </row>
    <row r="212" spans="10:10" ht="13">
      <c r="J212" s="226"/>
    </row>
    <row r="213" spans="10:10" ht="13">
      <c r="J213" s="226"/>
    </row>
    <row r="214" spans="10:10" ht="13">
      <c r="J214" s="226"/>
    </row>
    <row r="215" spans="10:10" ht="13">
      <c r="J215" s="226"/>
    </row>
    <row r="216" spans="10:10" ht="13">
      <c r="J216" s="226"/>
    </row>
    <row r="217" spans="10:10" ht="13">
      <c r="J217" s="226"/>
    </row>
    <row r="218" spans="10:10" ht="13">
      <c r="J218" s="226"/>
    </row>
    <row r="219" spans="10:10" ht="13">
      <c r="J219" s="226"/>
    </row>
    <row r="220" spans="10:10" ht="13">
      <c r="J220" s="226"/>
    </row>
    <row r="221" spans="10:10" ht="13">
      <c r="J221" s="226"/>
    </row>
    <row r="222" spans="10:10" ht="13">
      <c r="J222" s="226"/>
    </row>
    <row r="223" spans="10:10" ht="13">
      <c r="J223" s="226"/>
    </row>
    <row r="224" spans="10:10" ht="13">
      <c r="J224" s="226"/>
    </row>
    <row r="225" spans="10:10" ht="13">
      <c r="J225" s="226"/>
    </row>
    <row r="226" spans="10:10" ht="13">
      <c r="J226" s="226"/>
    </row>
    <row r="227" spans="10:10" ht="13">
      <c r="J227" s="226"/>
    </row>
    <row r="228" spans="10:10" ht="13">
      <c r="J228" s="226"/>
    </row>
    <row r="229" spans="10:10" ht="13">
      <c r="J229" s="226"/>
    </row>
    <row r="230" spans="10:10" ht="13">
      <c r="J230" s="226"/>
    </row>
    <row r="231" spans="10:10" ht="13">
      <c r="J231" s="226"/>
    </row>
    <row r="232" spans="10:10" ht="13">
      <c r="J232" s="226"/>
    </row>
    <row r="233" spans="10:10" ht="13">
      <c r="J233" s="226"/>
    </row>
    <row r="234" spans="10:10" ht="13">
      <c r="J234" s="226"/>
    </row>
    <row r="235" spans="10:10" ht="13">
      <c r="J235" s="226"/>
    </row>
    <row r="236" spans="10:10" ht="13">
      <c r="J236" s="226"/>
    </row>
    <row r="237" spans="10:10" ht="13">
      <c r="J237" s="226"/>
    </row>
    <row r="238" spans="10:10" ht="13">
      <c r="J238" s="226"/>
    </row>
    <row r="239" spans="10:10" ht="13">
      <c r="J239" s="226"/>
    </row>
    <row r="240" spans="10:10" ht="13">
      <c r="J240" s="226"/>
    </row>
    <row r="241" spans="10:10" ht="13">
      <c r="J241" s="226"/>
    </row>
    <row r="242" spans="10:10" ht="13">
      <c r="J242" s="226"/>
    </row>
    <row r="243" spans="10:10" ht="13">
      <c r="J243" s="226"/>
    </row>
    <row r="244" spans="10:10" ht="13">
      <c r="J244" s="226"/>
    </row>
    <row r="245" spans="10:10" ht="13">
      <c r="J245" s="226"/>
    </row>
    <row r="246" spans="10:10" ht="13">
      <c r="J246" s="226"/>
    </row>
    <row r="247" spans="10:10" ht="13">
      <c r="J247" s="226"/>
    </row>
    <row r="248" spans="10:10" ht="13">
      <c r="J248" s="226"/>
    </row>
    <row r="249" spans="10:10" ht="13">
      <c r="J249" s="226"/>
    </row>
    <row r="250" spans="10:10" ht="13">
      <c r="J250" s="226"/>
    </row>
    <row r="251" spans="10:10" ht="13">
      <c r="J251" s="226"/>
    </row>
    <row r="252" spans="10:10" ht="13">
      <c r="J252" s="226"/>
    </row>
    <row r="253" spans="10:10" ht="13">
      <c r="J253" s="226"/>
    </row>
    <row r="254" spans="10:10" ht="13">
      <c r="J254" s="226"/>
    </row>
    <row r="255" spans="10:10" ht="13">
      <c r="J255" s="226"/>
    </row>
    <row r="256" spans="10:10" ht="13">
      <c r="J256" s="226"/>
    </row>
    <row r="257" spans="10:10" ht="13">
      <c r="J257" s="226"/>
    </row>
    <row r="258" spans="10:10" ht="13">
      <c r="J258" s="226"/>
    </row>
    <row r="259" spans="10:10" ht="13">
      <c r="J259" s="226"/>
    </row>
    <row r="260" spans="10:10" ht="13">
      <c r="J260" s="226"/>
    </row>
    <row r="261" spans="10:10" ht="13">
      <c r="J261" s="226"/>
    </row>
    <row r="262" spans="10:10" ht="13">
      <c r="J262" s="226"/>
    </row>
    <row r="263" spans="10:10" ht="13">
      <c r="J263" s="226"/>
    </row>
    <row r="264" spans="10:10" ht="13">
      <c r="J264" s="226"/>
    </row>
    <row r="265" spans="10:10" ht="13">
      <c r="J265" s="226"/>
    </row>
    <row r="266" spans="10:10" ht="13">
      <c r="J266" s="226"/>
    </row>
    <row r="267" spans="10:10" ht="13">
      <c r="J267" s="226"/>
    </row>
    <row r="268" spans="10:10" ht="13">
      <c r="J268" s="226"/>
    </row>
    <row r="269" spans="10:10" ht="13">
      <c r="J269" s="226"/>
    </row>
    <row r="270" spans="10:10" ht="13">
      <c r="J270" s="226"/>
    </row>
    <row r="271" spans="10:10" ht="13">
      <c r="J271" s="226"/>
    </row>
    <row r="272" spans="10:10" ht="13">
      <c r="J272" s="226"/>
    </row>
    <row r="273" spans="10:10" ht="13">
      <c r="J273" s="226"/>
    </row>
    <row r="274" spans="10:10" ht="13">
      <c r="J274" s="226"/>
    </row>
    <row r="275" spans="10:10" ht="13">
      <c r="J275" s="226"/>
    </row>
    <row r="276" spans="10:10" ht="13">
      <c r="J276" s="226"/>
    </row>
    <row r="277" spans="10:10" ht="13">
      <c r="J277" s="226"/>
    </row>
    <row r="278" spans="10:10" ht="13">
      <c r="J278" s="226"/>
    </row>
    <row r="279" spans="10:10" ht="13">
      <c r="J279" s="226"/>
    </row>
    <row r="280" spans="10:10" ht="13">
      <c r="J280" s="226"/>
    </row>
    <row r="281" spans="10:10" ht="13">
      <c r="J281" s="226"/>
    </row>
    <row r="282" spans="10:10" ht="13">
      <c r="J282" s="226"/>
    </row>
    <row r="283" spans="10:10" ht="13">
      <c r="J283" s="226"/>
    </row>
    <row r="284" spans="10:10" ht="13">
      <c r="J284" s="226"/>
    </row>
    <row r="285" spans="10:10" ht="13">
      <c r="J285" s="226"/>
    </row>
    <row r="286" spans="10:10" ht="13">
      <c r="J286" s="226"/>
    </row>
    <row r="287" spans="10:10" ht="13">
      <c r="J287" s="226"/>
    </row>
    <row r="288" spans="10:10" ht="13">
      <c r="J288" s="226"/>
    </row>
    <row r="289" spans="10:10" ht="13">
      <c r="J289" s="226"/>
    </row>
    <row r="290" spans="10:10" ht="13">
      <c r="J290" s="226"/>
    </row>
    <row r="291" spans="10:10" ht="13">
      <c r="J291" s="226"/>
    </row>
    <row r="292" spans="10:10" ht="13">
      <c r="J292" s="226"/>
    </row>
    <row r="293" spans="10:10" ht="13">
      <c r="J293" s="226"/>
    </row>
    <row r="294" spans="10:10" ht="13">
      <c r="J294" s="226"/>
    </row>
    <row r="295" spans="10:10" ht="13">
      <c r="J295" s="226"/>
    </row>
    <row r="296" spans="10:10" ht="13">
      <c r="J296" s="226"/>
    </row>
    <row r="297" spans="10:10" ht="13">
      <c r="J297" s="226"/>
    </row>
    <row r="298" spans="10:10" ht="13">
      <c r="J298" s="226"/>
    </row>
    <row r="299" spans="10:10" ht="13">
      <c r="J299" s="226"/>
    </row>
    <row r="300" spans="10:10" ht="13">
      <c r="J300" s="226"/>
    </row>
    <row r="301" spans="10:10" ht="13">
      <c r="J301" s="226"/>
    </row>
    <row r="302" spans="10:10" ht="13">
      <c r="J302" s="226"/>
    </row>
    <row r="303" spans="10:10" ht="13">
      <c r="J303" s="226"/>
    </row>
    <row r="304" spans="10:10" ht="13">
      <c r="J304" s="226"/>
    </row>
    <row r="305" spans="10:10" ht="13">
      <c r="J305" s="226"/>
    </row>
    <row r="306" spans="10:10" ht="13">
      <c r="J306" s="226"/>
    </row>
    <row r="307" spans="10:10" ht="13">
      <c r="J307" s="226"/>
    </row>
    <row r="308" spans="10:10" ht="13">
      <c r="J308" s="226"/>
    </row>
    <row r="309" spans="10:10" ht="13">
      <c r="J309" s="226"/>
    </row>
    <row r="310" spans="10:10" ht="13">
      <c r="J310" s="226"/>
    </row>
    <row r="311" spans="10:10" ht="13">
      <c r="J311" s="226"/>
    </row>
    <row r="312" spans="10:10" ht="13">
      <c r="J312" s="226"/>
    </row>
    <row r="313" spans="10:10" ht="13">
      <c r="J313" s="226"/>
    </row>
    <row r="314" spans="10:10" ht="13">
      <c r="J314" s="226"/>
    </row>
    <row r="315" spans="10:10" ht="13">
      <c r="J315" s="226"/>
    </row>
    <row r="316" spans="10:10" ht="13">
      <c r="J316" s="226"/>
    </row>
    <row r="317" spans="10:10" ht="13">
      <c r="J317" s="226"/>
    </row>
    <row r="318" spans="10:10" ht="13">
      <c r="J318" s="226"/>
    </row>
    <row r="319" spans="10:10" ht="13">
      <c r="J319" s="226"/>
    </row>
    <row r="320" spans="10:10" ht="13">
      <c r="J320" s="226"/>
    </row>
    <row r="321" spans="10:10" ht="13">
      <c r="J321" s="226"/>
    </row>
    <row r="322" spans="10:10" ht="13">
      <c r="J322" s="226"/>
    </row>
    <row r="323" spans="10:10" ht="13">
      <c r="J323" s="226"/>
    </row>
    <row r="324" spans="10:10" ht="13">
      <c r="J324" s="226"/>
    </row>
    <row r="325" spans="10:10" ht="13">
      <c r="J325" s="226"/>
    </row>
    <row r="326" spans="10:10" ht="13">
      <c r="J326" s="226"/>
    </row>
    <row r="327" spans="10:10" ht="13">
      <c r="J327" s="226"/>
    </row>
    <row r="328" spans="10:10" ht="13">
      <c r="J328" s="226"/>
    </row>
    <row r="329" spans="10:10" ht="13">
      <c r="J329" s="226"/>
    </row>
    <row r="330" spans="10:10" ht="13">
      <c r="J330" s="226"/>
    </row>
    <row r="331" spans="10:10" ht="13">
      <c r="J331" s="226"/>
    </row>
    <row r="332" spans="10:10" ht="13">
      <c r="J332" s="226"/>
    </row>
    <row r="333" spans="10:10" ht="13">
      <c r="J333" s="226"/>
    </row>
    <row r="334" spans="10:10" ht="13">
      <c r="J334" s="226"/>
    </row>
    <row r="335" spans="10:10" ht="13">
      <c r="J335" s="226"/>
    </row>
    <row r="336" spans="10:10" ht="13">
      <c r="J336" s="226"/>
    </row>
    <row r="337" spans="10:10" ht="13">
      <c r="J337" s="226"/>
    </row>
    <row r="338" spans="10:10" ht="13">
      <c r="J338" s="226"/>
    </row>
    <row r="339" spans="10:10" ht="13">
      <c r="J339" s="226"/>
    </row>
    <row r="340" spans="10:10" ht="13">
      <c r="J340" s="226"/>
    </row>
    <row r="341" spans="10:10" ht="13">
      <c r="J341" s="226"/>
    </row>
    <row r="342" spans="10:10" ht="13">
      <c r="J342" s="226"/>
    </row>
    <row r="343" spans="10:10" ht="13">
      <c r="J343" s="226"/>
    </row>
    <row r="344" spans="10:10" ht="13">
      <c r="J344" s="226"/>
    </row>
    <row r="345" spans="10:10" ht="13">
      <c r="J345" s="226"/>
    </row>
    <row r="346" spans="10:10" ht="13">
      <c r="J346" s="226"/>
    </row>
    <row r="347" spans="10:10" ht="13">
      <c r="J347" s="226"/>
    </row>
    <row r="348" spans="10:10" ht="13">
      <c r="J348" s="226"/>
    </row>
    <row r="349" spans="10:10" ht="13">
      <c r="J349" s="226"/>
    </row>
    <row r="350" spans="10:10" ht="13">
      <c r="J350" s="226"/>
    </row>
    <row r="351" spans="10:10" ht="13">
      <c r="J351" s="226"/>
    </row>
    <row r="352" spans="10:10" ht="13">
      <c r="J352" s="226"/>
    </row>
    <row r="353" spans="10:10" ht="13">
      <c r="J353" s="226"/>
    </row>
    <row r="354" spans="10:10" ht="13">
      <c r="J354" s="226"/>
    </row>
    <row r="355" spans="10:10" ht="13">
      <c r="J355" s="226"/>
    </row>
    <row r="356" spans="10:10" ht="13">
      <c r="J356" s="226"/>
    </row>
    <row r="357" spans="10:10" ht="13">
      <c r="J357" s="226"/>
    </row>
    <row r="358" spans="10:10" ht="13">
      <c r="J358" s="226"/>
    </row>
    <row r="359" spans="10:10" ht="13">
      <c r="J359" s="226"/>
    </row>
    <row r="360" spans="10:10" ht="13">
      <c r="J360" s="226"/>
    </row>
    <row r="361" spans="10:10" ht="13">
      <c r="J361" s="226"/>
    </row>
    <row r="362" spans="10:10" ht="13">
      <c r="J362" s="226"/>
    </row>
    <row r="363" spans="10:10" ht="13">
      <c r="J363" s="226"/>
    </row>
    <row r="364" spans="10:10" ht="13">
      <c r="J364" s="226"/>
    </row>
    <row r="365" spans="10:10" ht="13">
      <c r="J365" s="226"/>
    </row>
    <row r="366" spans="10:10" ht="13">
      <c r="J366" s="226"/>
    </row>
    <row r="367" spans="10:10" ht="13">
      <c r="J367" s="226"/>
    </row>
    <row r="368" spans="10:10" ht="13">
      <c r="J368" s="226"/>
    </row>
    <row r="369" spans="10:10" ht="13">
      <c r="J369" s="226"/>
    </row>
    <row r="370" spans="10:10" ht="13">
      <c r="J370" s="226"/>
    </row>
    <row r="371" spans="10:10" ht="13">
      <c r="J371" s="226"/>
    </row>
    <row r="372" spans="10:10" ht="13">
      <c r="J372" s="226"/>
    </row>
    <row r="373" spans="10:10" ht="13">
      <c r="J373" s="226"/>
    </row>
    <row r="374" spans="10:10" ht="13">
      <c r="J374" s="226"/>
    </row>
    <row r="375" spans="10:10" ht="13">
      <c r="J375" s="226"/>
    </row>
    <row r="376" spans="10:10" ht="13">
      <c r="J376" s="226"/>
    </row>
    <row r="377" spans="10:10" ht="13">
      <c r="J377" s="226"/>
    </row>
    <row r="378" spans="10:10" ht="13">
      <c r="J378" s="226"/>
    </row>
    <row r="379" spans="10:10" ht="13">
      <c r="J379" s="226"/>
    </row>
    <row r="380" spans="10:10" ht="13">
      <c r="J380" s="226"/>
    </row>
    <row r="381" spans="10:10" ht="13">
      <c r="J381" s="226"/>
    </row>
    <row r="382" spans="10:10" ht="13">
      <c r="J382" s="226"/>
    </row>
    <row r="383" spans="10:10" ht="13">
      <c r="J383" s="226"/>
    </row>
    <row r="384" spans="10:10" ht="13">
      <c r="J384" s="226"/>
    </row>
    <row r="385" spans="10:10" ht="13">
      <c r="J385" s="226"/>
    </row>
    <row r="386" spans="10:10" ht="13">
      <c r="J386" s="226"/>
    </row>
    <row r="387" spans="10:10" ht="13">
      <c r="J387" s="226"/>
    </row>
    <row r="388" spans="10:10" ht="13">
      <c r="J388" s="226"/>
    </row>
    <row r="389" spans="10:10" ht="13">
      <c r="J389" s="226"/>
    </row>
    <row r="390" spans="10:10" ht="13">
      <c r="J390" s="226"/>
    </row>
    <row r="391" spans="10:10" ht="13">
      <c r="J391" s="226"/>
    </row>
    <row r="392" spans="10:10" ht="13">
      <c r="J392" s="226"/>
    </row>
    <row r="393" spans="10:10" ht="13">
      <c r="J393" s="226"/>
    </row>
    <row r="394" spans="10:10" ht="13">
      <c r="J394" s="226"/>
    </row>
    <row r="395" spans="10:10" ht="13">
      <c r="J395" s="226"/>
    </row>
    <row r="396" spans="10:10" ht="13">
      <c r="J396" s="226"/>
    </row>
    <row r="397" spans="10:10" ht="13">
      <c r="J397" s="226"/>
    </row>
    <row r="398" spans="10:10" ht="13">
      <c r="J398" s="226"/>
    </row>
    <row r="399" spans="10:10" ht="13">
      <c r="J399" s="226"/>
    </row>
    <row r="400" spans="10:10" ht="13">
      <c r="J400" s="226"/>
    </row>
    <row r="401" spans="10:10" ht="13">
      <c r="J401" s="226"/>
    </row>
    <row r="402" spans="10:10" ht="13">
      <c r="J402" s="226"/>
    </row>
    <row r="403" spans="10:10" ht="13">
      <c r="J403" s="226"/>
    </row>
    <row r="404" spans="10:10" ht="13">
      <c r="J404" s="226"/>
    </row>
    <row r="405" spans="10:10" ht="13">
      <c r="J405" s="226"/>
    </row>
    <row r="406" spans="10:10" ht="13">
      <c r="J406" s="226"/>
    </row>
    <row r="407" spans="10:10" ht="13">
      <c r="J407" s="226"/>
    </row>
    <row r="408" spans="10:10" ht="13">
      <c r="J408" s="226"/>
    </row>
    <row r="409" spans="10:10" ht="13">
      <c r="J409" s="226"/>
    </row>
    <row r="410" spans="10:10" ht="13">
      <c r="J410" s="226"/>
    </row>
    <row r="411" spans="10:10" ht="13">
      <c r="J411" s="226"/>
    </row>
    <row r="412" spans="10:10" ht="13">
      <c r="J412" s="226"/>
    </row>
    <row r="413" spans="10:10" ht="13">
      <c r="J413" s="226"/>
    </row>
    <row r="414" spans="10:10" ht="13">
      <c r="J414" s="226"/>
    </row>
    <row r="415" spans="10:10" ht="13">
      <c r="J415" s="226"/>
    </row>
    <row r="416" spans="10:10" ht="13">
      <c r="J416" s="226"/>
    </row>
    <row r="417" spans="10:10" ht="13">
      <c r="J417" s="226"/>
    </row>
    <row r="418" spans="10:10" ht="13">
      <c r="J418" s="226"/>
    </row>
    <row r="419" spans="10:10" ht="13">
      <c r="J419" s="226"/>
    </row>
    <row r="420" spans="10:10" ht="13">
      <c r="J420" s="226"/>
    </row>
    <row r="421" spans="10:10" ht="13">
      <c r="J421" s="226"/>
    </row>
    <row r="422" spans="10:10" ht="13">
      <c r="J422" s="226"/>
    </row>
    <row r="423" spans="10:10" ht="13">
      <c r="J423" s="226"/>
    </row>
    <row r="424" spans="10:10" ht="13">
      <c r="J424" s="226"/>
    </row>
    <row r="425" spans="10:10" ht="13">
      <c r="J425" s="226"/>
    </row>
    <row r="426" spans="10:10" ht="13">
      <c r="J426" s="226"/>
    </row>
    <row r="427" spans="10:10" ht="13">
      <c r="J427" s="226"/>
    </row>
    <row r="428" spans="10:10" ht="13">
      <c r="J428" s="226"/>
    </row>
    <row r="429" spans="10:10" ht="13">
      <c r="J429" s="226"/>
    </row>
    <row r="430" spans="10:10" ht="13">
      <c r="J430" s="226"/>
    </row>
    <row r="431" spans="10:10" ht="13">
      <c r="J431" s="226"/>
    </row>
    <row r="432" spans="10:10" ht="13">
      <c r="J432" s="226"/>
    </row>
    <row r="433" spans="10:10" ht="13">
      <c r="J433" s="226"/>
    </row>
    <row r="434" spans="10:10" ht="13">
      <c r="J434" s="226"/>
    </row>
    <row r="435" spans="10:10" ht="13">
      <c r="J435" s="226"/>
    </row>
    <row r="436" spans="10:10" ht="13">
      <c r="J436" s="226"/>
    </row>
    <row r="437" spans="10:10" ht="13">
      <c r="J437" s="226"/>
    </row>
    <row r="438" spans="10:10" ht="13">
      <c r="J438" s="226"/>
    </row>
    <row r="439" spans="10:10" ht="13">
      <c r="J439" s="226"/>
    </row>
    <row r="440" spans="10:10" ht="13">
      <c r="J440" s="226"/>
    </row>
    <row r="441" spans="10:10" ht="13">
      <c r="J441" s="226"/>
    </row>
    <row r="442" spans="10:10" ht="13">
      <c r="J442" s="226"/>
    </row>
    <row r="443" spans="10:10" ht="13">
      <c r="J443" s="226"/>
    </row>
    <row r="444" spans="10:10" ht="13">
      <c r="J444" s="226"/>
    </row>
    <row r="445" spans="10:10" ht="13">
      <c r="J445" s="226"/>
    </row>
    <row r="446" spans="10:10" ht="13">
      <c r="J446" s="226"/>
    </row>
    <row r="447" spans="10:10" ht="13">
      <c r="J447" s="226"/>
    </row>
    <row r="448" spans="10:10" ht="13">
      <c r="J448" s="226"/>
    </row>
    <row r="449" spans="10:10" ht="13">
      <c r="J449" s="226"/>
    </row>
    <row r="450" spans="10:10" ht="13">
      <c r="J450" s="226"/>
    </row>
    <row r="451" spans="10:10" ht="13">
      <c r="J451" s="226"/>
    </row>
    <row r="452" spans="10:10" ht="13">
      <c r="J452" s="226"/>
    </row>
    <row r="453" spans="10:10" ht="13">
      <c r="J453" s="226"/>
    </row>
    <row r="454" spans="10:10" ht="13">
      <c r="J454" s="226"/>
    </row>
    <row r="455" spans="10:10" ht="13">
      <c r="J455" s="226"/>
    </row>
    <row r="456" spans="10:10" ht="13">
      <c r="J456" s="226"/>
    </row>
    <row r="457" spans="10:10" ht="13">
      <c r="J457" s="226"/>
    </row>
    <row r="458" spans="10:10" ht="13">
      <c r="J458" s="226"/>
    </row>
    <row r="459" spans="10:10" ht="13">
      <c r="J459" s="226"/>
    </row>
    <row r="460" spans="10:10" ht="13">
      <c r="J460" s="226"/>
    </row>
    <row r="461" spans="10:10" ht="13">
      <c r="J461" s="226"/>
    </row>
    <row r="462" spans="10:10" ht="13">
      <c r="J462" s="226"/>
    </row>
    <row r="463" spans="10:10" ht="13">
      <c r="J463" s="226"/>
    </row>
    <row r="464" spans="10:10" ht="13">
      <c r="J464" s="226"/>
    </row>
    <row r="465" spans="10:10" ht="13">
      <c r="J465" s="226"/>
    </row>
    <row r="466" spans="10:10" ht="13">
      <c r="J466" s="226"/>
    </row>
    <row r="467" spans="10:10" ht="13">
      <c r="J467" s="226"/>
    </row>
    <row r="468" spans="10:10" ht="13">
      <c r="J468" s="226"/>
    </row>
    <row r="469" spans="10:10" ht="13">
      <c r="J469" s="226"/>
    </row>
    <row r="470" spans="10:10" ht="13">
      <c r="J470" s="226"/>
    </row>
    <row r="471" spans="10:10" ht="13">
      <c r="J471" s="226"/>
    </row>
    <row r="472" spans="10:10" ht="13">
      <c r="J472" s="226"/>
    </row>
    <row r="473" spans="10:10" ht="13">
      <c r="J473" s="226"/>
    </row>
    <row r="474" spans="10:10" ht="13">
      <c r="J474" s="226"/>
    </row>
    <row r="475" spans="10:10" ht="13">
      <c r="J475" s="226"/>
    </row>
    <row r="476" spans="10:10" ht="13">
      <c r="J476" s="226"/>
    </row>
    <row r="477" spans="10:10" ht="13">
      <c r="J477" s="226"/>
    </row>
    <row r="478" spans="10:10" ht="13">
      <c r="J478" s="226"/>
    </row>
    <row r="479" spans="10:10" ht="13">
      <c r="J479" s="226"/>
    </row>
    <row r="480" spans="10:10" ht="13">
      <c r="J480" s="226"/>
    </row>
    <row r="481" spans="10:10" ht="13">
      <c r="J481" s="226"/>
    </row>
    <row r="482" spans="10:10" ht="13">
      <c r="J482" s="226"/>
    </row>
    <row r="483" spans="10:10" ht="13">
      <c r="J483" s="226"/>
    </row>
    <row r="484" spans="10:10" ht="13">
      <c r="J484" s="226"/>
    </row>
    <row r="485" spans="10:10" ht="13">
      <c r="J485" s="226"/>
    </row>
    <row r="486" spans="10:10" ht="13">
      <c r="J486" s="226"/>
    </row>
    <row r="487" spans="10:10" ht="13">
      <c r="J487" s="226"/>
    </row>
    <row r="488" spans="10:10" ht="13">
      <c r="J488" s="226"/>
    </row>
    <row r="489" spans="10:10" ht="13">
      <c r="J489" s="226"/>
    </row>
    <row r="490" spans="10:10" ht="13">
      <c r="J490" s="226"/>
    </row>
    <row r="491" spans="10:10" ht="13">
      <c r="J491" s="226"/>
    </row>
    <row r="492" spans="10:10" ht="13">
      <c r="J492" s="226"/>
    </row>
    <row r="493" spans="10:10" ht="13">
      <c r="J493" s="226"/>
    </row>
    <row r="494" spans="10:10" ht="13">
      <c r="J494" s="226"/>
    </row>
    <row r="495" spans="10:10" ht="13">
      <c r="J495" s="226"/>
    </row>
    <row r="496" spans="10:10" ht="13">
      <c r="J496" s="226"/>
    </row>
    <row r="497" spans="10:10" ht="13">
      <c r="J497" s="226"/>
    </row>
    <row r="498" spans="10:10" ht="13">
      <c r="J498" s="226"/>
    </row>
    <row r="499" spans="10:10" ht="13">
      <c r="J499" s="226"/>
    </row>
    <row r="500" spans="10:10" ht="13">
      <c r="J500" s="226"/>
    </row>
    <row r="501" spans="10:10" ht="13">
      <c r="J501" s="226"/>
    </row>
    <row r="502" spans="10:10" ht="13">
      <c r="J502" s="226"/>
    </row>
    <row r="503" spans="10:10" ht="13">
      <c r="J503" s="226"/>
    </row>
    <row r="504" spans="10:10" ht="13">
      <c r="J504" s="226"/>
    </row>
    <row r="505" spans="10:10" ht="13">
      <c r="J505" s="226"/>
    </row>
    <row r="506" spans="10:10" ht="13">
      <c r="J506" s="226"/>
    </row>
    <row r="507" spans="10:10" ht="13">
      <c r="J507" s="226"/>
    </row>
    <row r="508" spans="10:10" ht="13">
      <c r="J508" s="226"/>
    </row>
    <row r="509" spans="10:10" ht="13">
      <c r="J509" s="226"/>
    </row>
    <row r="510" spans="10:10" ht="13">
      <c r="J510" s="226"/>
    </row>
    <row r="511" spans="10:10" ht="13">
      <c r="J511" s="226"/>
    </row>
    <row r="512" spans="10:10" ht="13">
      <c r="J512" s="226"/>
    </row>
    <row r="513" spans="10:10" ht="13">
      <c r="J513" s="226"/>
    </row>
    <row r="514" spans="10:10" ht="13">
      <c r="J514" s="226"/>
    </row>
    <row r="515" spans="10:10" ht="13">
      <c r="J515" s="226"/>
    </row>
    <row r="516" spans="10:10" ht="13">
      <c r="J516" s="226"/>
    </row>
    <row r="517" spans="10:10" ht="13">
      <c r="J517" s="226"/>
    </row>
    <row r="518" spans="10:10" ht="13">
      <c r="J518" s="226"/>
    </row>
    <row r="519" spans="10:10" ht="13">
      <c r="J519" s="226"/>
    </row>
    <row r="520" spans="10:10" ht="13">
      <c r="J520" s="226"/>
    </row>
    <row r="521" spans="10:10" ht="13">
      <c r="J521" s="226"/>
    </row>
    <row r="522" spans="10:10" ht="13">
      <c r="J522" s="226"/>
    </row>
    <row r="523" spans="10:10" ht="13">
      <c r="J523" s="226"/>
    </row>
    <row r="524" spans="10:10" ht="13">
      <c r="J524" s="226"/>
    </row>
    <row r="525" spans="10:10" ht="13">
      <c r="J525" s="226"/>
    </row>
    <row r="526" spans="10:10" ht="13">
      <c r="J526" s="226"/>
    </row>
    <row r="527" spans="10:10" ht="13">
      <c r="J527" s="226"/>
    </row>
    <row r="528" spans="10:10" ht="13">
      <c r="J528" s="226"/>
    </row>
    <row r="529" spans="10:10" ht="13">
      <c r="J529" s="226"/>
    </row>
    <row r="530" spans="10:10" ht="13">
      <c r="J530" s="226"/>
    </row>
    <row r="531" spans="10:10" ht="13">
      <c r="J531" s="226"/>
    </row>
    <row r="532" spans="10:10" ht="13">
      <c r="J532" s="226"/>
    </row>
    <row r="533" spans="10:10" ht="13">
      <c r="J533" s="226"/>
    </row>
    <row r="534" spans="10:10" ht="13">
      <c r="J534" s="226"/>
    </row>
    <row r="535" spans="10:10" ht="13">
      <c r="J535" s="226"/>
    </row>
    <row r="536" spans="10:10" ht="13">
      <c r="J536" s="226"/>
    </row>
    <row r="537" spans="10:10" ht="13">
      <c r="J537" s="226"/>
    </row>
    <row r="538" spans="10:10" ht="13">
      <c r="J538" s="226"/>
    </row>
    <row r="539" spans="10:10" ht="13">
      <c r="J539" s="226"/>
    </row>
    <row r="540" spans="10:10" ht="13">
      <c r="J540" s="226"/>
    </row>
    <row r="541" spans="10:10" ht="13">
      <c r="J541" s="226"/>
    </row>
    <row r="542" spans="10:10" ht="13">
      <c r="J542" s="226"/>
    </row>
    <row r="543" spans="10:10" ht="13">
      <c r="J543" s="226"/>
    </row>
    <row r="544" spans="10:10" ht="13">
      <c r="J544" s="226"/>
    </row>
    <row r="545" spans="10:10" ht="13">
      <c r="J545" s="226"/>
    </row>
    <row r="546" spans="10:10" ht="13">
      <c r="J546" s="226"/>
    </row>
    <row r="547" spans="10:10" ht="13">
      <c r="J547" s="226"/>
    </row>
    <row r="548" spans="10:10" ht="13">
      <c r="J548" s="226"/>
    </row>
    <row r="549" spans="10:10" ht="13">
      <c r="J549" s="226"/>
    </row>
    <row r="550" spans="10:10" ht="13">
      <c r="J550" s="226"/>
    </row>
    <row r="551" spans="10:10" ht="13">
      <c r="J551" s="226"/>
    </row>
    <row r="552" spans="10:10" ht="13">
      <c r="J552" s="226"/>
    </row>
    <row r="553" spans="10:10" ht="13">
      <c r="J553" s="226"/>
    </row>
    <row r="554" spans="10:10" ht="13">
      <c r="J554" s="226"/>
    </row>
    <row r="555" spans="10:10" ht="13">
      <c r="J555" s="226"/>
    </row>
    <row r="556" spans="10:10" ht="13">
      <c r="J556" s="226"/>
    </row>
    <row r="557" spans="10:10" ht="13">
      <c r="J557" s="226"/>
    </row>
    <row r="558" spans="10:10" ht="13">
      <c r="J558" s="226"/>
    </row>
    <row r="559" spans="10:10" ht="13">
      <c r="J559" s="226"/>
    </row>
    <row r="560" spans="10:10" ht="13">
      <c r="J560" s="226"/>
    </row>
    <row r="561" spans="10:10" ht="13">
      <c r="J561" s="226"/>
    </row>
    <row r="562" spans="10:10" ht="13">
      <c r="J562" s="226"/>
    </row>
    <row r="563" spans="10:10" ht="13">
      <c r="J563" s="226"/>
    </row>
    <row r="564" spans="10:10" ht="13">
      <c r="J564" s="226"/>
    </row>
    <row r="565" spans="10:10" ht="13">
      <c r="J565" s="226"/>
    </row>
    <row r="566" spans="10:10" ht="13">
      <c r="J566" s="226"/>
    </row>
    <row r="567" spans="10:10" ht="13">
      <c r="J567" s="226"/>
    </row>
    <row r="568" spans="10:10" ht="13">
      <c r="J568" s="226"/>
    </row>
    <row r="569" spans="10:10" ht="13">
      <c r="J569" s="226"/>
    </row>
    <row r="570" spans="10:10" ht="13">
      <c r="J570" s="226"/>
    </row>
    <row r="571" spans="10:10" ht="13">
      <c r="J571" s="226"/>
    </row>
    <row r="572" spans="10:10" ht="13">
      <c r="J572" s="226"/>
    </row>
    <row r="573" spans="10:10" ht="13">
      <c r="J573" s="226"/>
    </row>
    <row r="574" spans="10:10" ht="13">
      <c r="J574" s="226"/>
    </row>
    <row r="575" spans="10:10" ht="13">
      <c r="J575" s="226"/>
    </row>
    <row r="576" spans="10:10" ht="13">
      <c r="J576" s="226"/>
    </row>
    <row r="577" spans="10:10" ht="13">
      <c r="J577" s="226"/>
    </row>
    <row r="578" spans="10:10" ht="13">
      <c r="J578" s="226"/>
    </row>
    <row r="579" spans="10:10" ht="13">
      <c r="J579" s="226"/>
    </row>
    <row r="580" spans="10:10" ht="13">
      <c r="J580" s="226"/>
    </row>
    <row r="581" spans="10:10" ht="13">
      <c r="J581" s="226"/>
    </row>
    <row r="582" spans="10:10" ht="13">
      <c r="J582" s="226"/>
    </row>
    <row r="583" spans="10:10" ht="13">
      <c r="J583" s="226"/>
    </row>
    <row r="584" spans="10:10" ht="13">
      <c r="J584" s="226"/>
    </row>
    <row r="585" spans="10:10" ht="13">
      <c r="J585" s="226"/>
    </row>
    <row r="586" spans="10:10" ht="13">
      <c r="J586" s="226"/>
    </row>
    <row r="587" spans="10:10" ht="13">
      <c r="J587" s="226"/>
    </row>
    <row r="588" spans="10:10" ht="13">
      <c r="J588" s="226"/>
    </row>
    <row r="589" spans="10:10" ht="13">
      <c r="J589" s="226"/>
    </row>
    <row r="590" spans="10:10" ht="13">
      <c r="J590" s="226"/>
    </row>
    <row r="591" spans="10:10" ht="13">
      <c r="J591" s="226"/>
    </row>
    <row r="592" spans="10:10" ht="13">
      <c r="J592" s="226"/>
    </row>
    <row r="593" spans="10:10" ht="13">
      <c r="J593" s="226"/>
    </row>
    <row r="594" spans="10:10" ht="13">
      <c r="J594" s="226"/>
    </row>
    <row r="595" spans="10:10" ht="13">
      <c r="J595" s="226"/>
    </row>
    <row r="596" spans="10:10" ht="13">
      <c r="J596" s="226"/>
    </row>
    <row r="597" spans="10:10" ht="13">
      <c r="J597" s="226"/>
    </row>
    <row r="598" spans="10:10" ht="13">
      <c r="J598" s="226"/>
    </row>
    <row r="599" spans="10:10" ht="13">
      <c r="J599" s="226"/>
    </row>
    <row r="600" spans="10:10" ht="13">
      <c r="J600" s="226"/>
    </row>
    <row r="601" spans="10:10" ht="13">
      <c r="J601" s="226"/>
    </row>
    <row r="602" spans="10:10" ht="13">
      <c r="J602" s="226"/>
    </row>
    <row r="603" spans="10:10" ht="13">
      <c r="J603" s="226"/>
    </row>
    <row r="604" spans="10:10" ht="13">
      <c r="J604" s="226"/>
    </row>
    <row r="605" spans="10:10" ht="13">
      <c r="J605" s="226"/>
    </row>
    <row r="606" spans="10:10" ht="13">
      <c r="J606" s="226"/>
    </row>
    <row r="607" spans="10:10" ht="13">
      <c r="J607" s="226"/>
    </row>
    <row r="608" spans="10:10" ht="13">
      <c r="J608" s="226"/>
    </row>
    <row r="609" spans="10:10" ht="13">
      <c r="J609" s="226"/>
    </row>
    <row r="610" spans="10:10" ht="13">
      <c r="J610" s="226"/>
    </row>
    <row r="611" spans="10:10" ht="13">
      <c r="J611" s="226"/>
    </row>
    <row r="612" spans="10:10" ht="13">
      <c r="J612" s="226"/>
    </row>
    <row r="613" spans="10:10" ht="13">
      <c r="J613" s="226"/>
    </row>
    <row r="614" spans="10:10" ht="13">
      <c r="J614" s="226"/>
    </row>
    <row r="615" spans="10:10" ht="13">
      <c r="J615" s="226"/>
    </row>
    <row r="616" spans="10:10" ht="13">
      <c r="J616" s="226"/>
    </row>
    <row r="617" spans="10:10" ht="13">
      <c r="J617" s="226"/>
    </row>
    <row r="618" spans="10:10" ht="13">
      <c r="J618" s="226"/>
    </row>
    <row r="619" spans="10:10" ht="13">
      <c r="J619" s="226"/>
    </row>
    <row r="620" spans="10:10" ht="13">
      <c r="J620" s="226"/>
    </row>
    <row r="621" spans="10:10" ht="13">
      <c r="J621" s="226"/>
    </row>
    <row r="622" spans="10:10" ht="13">
      <c r="J622" s="226"/>
    </row>
    <row r="623" spans="10:10" ht="13">
      <c r="J623" s="226"/>
    </row>
    <row r="624" spans="10:10" ht="13">
      <c r="J624" s="226"/>
    </row>
    <row r="625" spans="10:10" ht="13">
      <c r="J625" s="226"/>
    </row>
    <row r="626" spans="10:10" ht="13">
      <c r="J626" s="226"/>
    </row>
    <row r="627" spans="10:10" ht="13">
      <c r="J627" s="226"/>
    </row>
    <row r="628" spans="10:10" ht="13">
      <c r="J628" s="226"/>
    </row>
    <row r="629" spans="10:10" ht="13">
      <c r="J629" s="226"/>
    </row>
    <row r="630" spans="10:10" ht="13">
      <c r="J630" s="226"/>
    </row>
    <row r="631" spans="10:10" ht="13">
      <c r="J631" s="226"/>
    </row>
    <row r="632" spans="10:10" ht="13">
      <c r="J632" s="226"/>
    </row>
    <row r="633" spans="10:10" ht="13">
      <c r="J633" s="226"/>
    </row>
    <row r="634" spans="10:10" ht="13">
      <c r="J634" s="226"/>
    </row>
    <row r="635" spans="10:10" ht="13">
      <c r="J635" s="226"/>
    </row>
    <row r="636" spans="10:10" ht="13">
      <c r="J636" s="226"/>
    </row>
    <row r="637" spans="10:10" ht="13">
      <c r="J637" s="226"/>
    </row>
    <row r="638" spans="10:10" ht="13">
      <c r="J638" s="226"/>
    </row>
    <row r="639" spans="10:10" ht="13">
      <c r="J639" s="226"/>
    </row>
    <row r="640" spans="10:10" ht="13">
      <c r="J640" s="226"/>
    </row>
    <row r="641" spans="10:10" ht="13">
      <c r="J641" s="226"/>
    </row>
    <row r="642" spans="10:10" ht="13">
      <c r="J642" s="226"/>
    </row>
    <row r="643" spans="10:10" ht="13">
      <c r="J643" s="226"/>
    </row>
    <row r="644" spans="10:10" ht="13">
      <c r="J644" s="226"/>
    </row>
    <row r="645" spans="10:10" ht="13">
      <c r="J645" s="226"/>
    </row>
    <row r="646" spans="10:10" ht="13">
      <c r="J646" s="226"/>
    </row>
    <row r="647" spans="10:10" ht="13">
      <c r="J647" s="226"/>
    </row>
    <row r="648" spans="10:10" ht="13">
      <c r="J648" s="226"/>
    </row>
    <row r="649" spans="10:10" ht="13">
      <c r="J649" s="226"/>
    </row>
    <row r="650" spans="10:10" ht="13">
      <c r="J650" s="226"/>
    </row>
    <row r="651" spans="10:10" ht="13">
      <c r="J651" s="226"/>
    </row>
    <row r="652" spans="10:10" ht="13">
      <c r="J652" s="226"/>
    </row>
    <row r="653" spans="10:10" ht="13">
      <c r="J653" s="226"/>
    </row>
    <row r="654" spans="10:10" ht="13">
      <c r="J654" s="226"/>
    </row>
    <row r="655" spans="10:10" ht="13">
      <c r="J655" s="226"/>
    </row>
    <row r="656" spans="10:10" ht="13">
      <c r="J656" s="226"/>
    </row>
    <row r="657" spans="10:10" ht="13">
      <c r="J657" s="226"/>
    </row>
    <row r="658" spans="10:10" ht="13">
      <c r="J658" s="226"/>
    </row>
    <row r="659" spans="10:10" ht="13">
      <c r="J659" s="226"/>
    </row>
    <row r="660" spans="10:10" ht="13">
      <c r="J660" s="226"/>
    </row>
    <row r="661" spans="10:10" ht="13">
      <c r="J661" s="226"/>
    </row>
    <row r="662" spans="10:10" ht="13">
      <c r="J662" s="226"/>
    </row>
    <row r="663" spans="10:10" ht="13">
      <c r="J663" s="226"/>
    </row>
    <row r="664" spans="10:10" ht="13">
      <c r="J664" s="226"/>
    </row>
    <row r="665" spans="10:10" ht="13">
      <c r="J665" s="226"/>
    </row>
    <row r="666" spans="10:10" ht="13">
      <c r="J666" s="226"/>
    </row>
    <row r="667" spans="10:10" ht="13">
      <c r="J667" s="226"/>
    </row>
    <row r="668" spans="10:10" ht="13">
      <c r="J668" s="226"/>
    </row>
    <row r="669" spans="10:10" ht="13">
      <c r="J669" s="226"/>
    </row>
    <row r="670" spans="10:10" ht="13">
      <c r="J670" s="226"/>
    </row>
    <row r="671" spans="10:10" ht="13">
      <c r="J671" s="226"/>
    </row>
    <row r="672" spans="10:10" ht="13">
      <c r="J672" s="226"/>
    </row>
    <row r="673" spans="10:10" ht="13">
      <c r="J673" s="226"/>
    </row>
    <row r="674" spans="10:10" ht="13">
      <c r="J674" s="226"/>
    </row>
    <row r="675" spans="10:10" ht="13">
      <c r="J675" s="226"/>
    </row>
    <row r="676" spans="10:10" ht="13">
      <c r="J676" s="226"/>
    </row>
    <row r="677" spans="10:10" ht="13">
      <c r="J677" s="226"/>
    </row>
    <row r="678" spans="10:10" ht="13">
      <c r="J678" s="226"/>
    </row>
    <row r="679" spans="10:10" ht="13">
      <c r="J679" s="226"/>
    </row>
    <row r="680" spans="10:10" ht="13">
      <c r="J680" s="226"/>
    </row>
    <row r="681" spans="10:10" ht="13">
      <c r="J681" s="226"/>
    </row>
    <row r="682" spans="10:10" ht="13">
      <c r="J682" s="226"/>
    </row>
    <row r="683" spans="10:10" ht="13">
      <c r="J683" s="226"/>
    </row>
    <row r="684" spans="10:10" ht="13">
      <c r="J684" s="226"/>
    </row>
    <row r="685" spans="10:10" ht="13">
      <c r="J685" s="226"/>
    </row>
    <row r="686" spans="10:10" ht="13">
      <c r="J686" s="226"/>
    </row>
    <row r="687" spans="10:10" ht="13">
      <c r="J687" s="226"/>
    </row>
    <row r="688" spans="10:10" ht="13">
      <c r="J688" s="226"/>
    </row>
    <row r="689" spans="10:10" ht="13">
      <c r="J689" s="226"/>
    </row>
    <row r="690" spans="10:10" ht="13">
      <c r="J690" s="226"/>
    </row>
    <row r="691" spans="10:10" ht="13">
      <c r="J691" s="226"/>
    </row>
    <row r="692" spans="10:10" ht="13">
      <c r="J692" s="226"/>
    </row>
    <row r="693" spans="10:10" ht="13">
      <c r="J693" s="226"/>
    </row>
    <row r="694" spans="10:10" ht="13">
      <c r="J694" s="226"/>
    </row>
    <row r="695" spans="10:10" ht="13">
      <c r="J695" s="226"/>
    </row>
    <row r="696" spans="10:10" ht="13">
      <c r="J696" s="226"/>
    </row>
    <row r="697" spans="10:10" ht="13">
      <c r="J697" s="226"/>
    </row>
    <row r="698" spans="10:10" ht="13">
      <c r="J698" s="226"/>
    </row>
    <row r="699" spans="10:10" ht="13">
      <c r="J699" s="226"/>
    </row>
    <row r="700" spans="10:10" ht="13">
      <c r="J700" s="226"/>
    </row>
    <row r="701" spans="10:10" ht="13">
      <c r="J701" s="226"/>
    </row>
    <row r="702" spans="10:10" ht="13">
      <c r="J702" s="226"/>
    </row>
    <row r="703" spans="10:10" ht="13">
      <c r="J703" s="226"/>
    </row>
    <row r="704" spans="10:10" ht="13">
      <c r="J704" s="226"/>
    </row>
    <row r="705" spans="10:10" ht="13">
      <c r="J705" s="226"/>
    </row>
    <row r="706" spans="10:10" ht="13">
      <c r="J706" s="226"/>
    </row>
    <row r="707" spans="10:10" ht="13">
      <c r="J707" s="226"/>
    </row>
    <row r="708" spans="10:10" ht="13">
      <c r="J708" s="226"/>
    </row>
    <row r="709" spans="10:10" ht="13">
      <c r="J709" s="226"/>
    </row>
    <row r="710" spans="10:10" ht="13">
      <c r="J710" s="226"/>
    </row>
    <row r="711" spans="10:10" ht="13">
      <c r="J711" s="226"/>
    </row>
    <row r="712" spans="10:10" ht="13">
      <c r="J712" s="226"/>
    </row>
    <row r="713" spans="10:10" ht="13">
      <c r="J713" s="226"/>
    </row>
    <row r="714" spans="10:10" ht="13">
      <c r="J714" s="226"/>
    </row>
    <row r="715" spans="10:10" ht="13">
      <c r="J715" s="226"/>
    </row>
    <row r="716" spans="10:10" ht="13">
      <c r="J716" s="226"/>
    </row>
    <row r="717" spans="10:10" ht="13">
      <c r="J717" s="226"/>
    </row>
    <row r="718" spans="10:10" ht="13">
      <c r="J718" s="226"/>
    </row>
    <row r="719" spans="10:10" ht="13">
      <c r="J719" s="226"/>
    </row>
    <row r="720" spans="10:10" ht="13">
      <c r="J720" s="226"/>
    </row>
    <row r="721" spans="10:10" ht="13">
      <c r="J721" s="226"/>
    </row>
    <row r="722" spans="10:10" ht="13">
      <c r="J722" s="226"/>
    </row>
    <row r="723" spans="10:10" ht="13">
      <c r="J723" s="226"/>
    </row>
    <row r="724" spans="10:10" ht="13">
      <c r="J724" s="226"/>
    </row>
    <row r="725" spans="10:10" ht="13">
      <c r="J725" s="226"/>
    </row>
    <row r="726" spans="10:10" ht="13">
      <c r="J726" s="226"/>
    </row>
    <row r="727" spans="10:10" ht="13">
      <c r="J727" s="226"/>
    </row>
    <row r="728" spans="10:10" ht="13">
      <c r="J728" s="226"/>
    </row>
    <row r="729" spans="10:10" ht="13">
      <c r="J729" s="226"/>
    </row>
    <row r="730" spans="10:10" ht="13">
      <c r="J730" s="226"/>
    </row>
    <row r="731" spans="10:10" ht="13">
      <c r="J731" s="226"/>
    </row>
    <row r="732" spans="10:10" ht="13">
      <c r="J732" s="226"/>
    </row>
    <row r="733" spans="10:10" ht="13">
      <c r="J733" s="226"/>
    </row>
    <row r="734" spans="10:10" ht="13">
      <c r="J734" s="226"/>
    </row>
    <row r="735" spans="10:10" ht="13">
      <c r="J735" s="226"/>
    </row>
    <row r="736" spans="10:10" ht="13">
      <c r="J736" s="226"/>
    </row>
    <row r="737" spans="10:10" ht="13">
      <c r="J737" s="226"/>
    </row>
    <row r="738" spans="10:10" ht="13">
      <c r="J738" s="226"/>
    </row>
    <row r="739" spans="10:10" ht="13">
      <c r="J739" s="226"/>
    </row>
    <row r="740" spans="10:10" ht="13">
      <c r="J740" s="226"/>
    </row>
    <row r="741" spans="10:10" ht="13">
      <c r="J741" s="226"/>
    </row>
    <row r="742" spans="10:10" ht="13">
      <c r="J742" s="226"/>
    </row>
    <row r="743" spans="10:10" ht="13">
      <c r="J743" s="226"/>
    </row>
    <row r="744" spans="10:10" ht="13">
      <c r="J744" s="226"/>
    </row>
    <row r="745" spans="10:10" ht="13">
      <c r="J745" s="226"/>
    </row>
    <row r="746" spans="10:10" ht="13">
      <c r="J746" s="226"/>
    </row>
    <row r="747" spans="10:10" ht="13">
      <c r="J747" s="226"/>
    </row>
    <row r="748" spans="10:10" ht="13">
      <c r="J748" s="226"/>
    </row>
    <row r="749" spans="10:10" ht="13">
      <c r="J749" s="226"/>
    </row>
    <row r="750" spans="10:10" ht="13">
      <c r="J750" s="226"/>
    </row>
    <row r="751" spans="10:10" ht="13">
      <c r="J751" s="226"/>
    </row>
    <row r="752" spans="10:10" ht="13">
      <c r="J752" s="226"/>
    </row>
    <row r="753" spans="10:10" ht="13">
      <c r="J753" s="226"/>
    </row>
    <row r="754" spans="10:10" ht="13">
      <c r="J754" s="226"/>
    </row>
    <row r="755" spans="10:10" ht="13">
      <c r="J755" s="226"/>
    </row>
    <row r="756" spans="10:10" ht="13">
      <c r="J756" s="226"/>
    </row>
    <row r="757" spans="10:10" ht="13">
      <c r="J757" s="226"/>
    </row>
    <row r="758" spans="10:10" ht="13">
      <c r="J758" s="226"/>
    </row>
    <row r="759" spans="10:10" ht="13">
      <c r="J759" s="226"/>
    </row>
    <row r="760" spans="10:10" ht="13">
      <c r="J760" s="226"/>
    </row>
    <row r="761" spans="10:10" ht="13">
      <c r="J761" s="226"/>
    </row>
    <row r="762" spans="10:10" ht="13">
      <c r="J762" s="226"/>
    </row>
    <row r="763" spans="10:10" ht="13">
      <c r="J763" s="226"/>
    </row>
    <row r="764" spans="10:10" ht="13">
      <c r="J764" s="226"/>
    </row>
    <row r="765" spans="10:10" ht="13">
      <c r="J765" s="226"/>
    </row>
    <row r="766" spans="10:10" ht="13">
      <c r="J766" s="226"/>
    </row>
    <row r="767" spans="10:10" ht="13">
      <c r="J767" s="226"/>
    </row>
    <row r="768" spans="10:10" ht="13">
      <c r="J768" s="226"/>
    </row>
    <row r="769" spans="10:10" ht="13">
      <c r="J769" s="226"/>
    </row>
    <row r="770" spans="10:10" ht="13">
      <c r="J770" s="226"/>
    </row>
    <row r="771" spans="10:10" ht="13">
      <c r="J771" s="226"/>
    </row>
    <row r="772" spans="10:10" ht="13">
      <c r="J772" s="226"/>
    </row>
    <row r="773" spans="10:10" ht="13">
      <c r="J773" s="226"/>
    </row>
    <row r="774" spans="10:10" ht="13">
      <c r="J774" s="226"/>
    </row>
    <row r="775" spans="10:10" ht="13">
      <c r="J775" s="226"/>
    </row>
    <row r="776" spans="10:10" ht="13">
      <c r="J776" s="226"/>
    </row>
    <row r="777" spans="10:10" ht="13">
      <c r="J777" s="226"/>
    </row>
    <row r="778" spans="10:10" ht="13">
      <c r="J778" s="226"/>
    </row>
    <row r="779" spans="10:10" ht="13">
      <c r="J779" s="226"/>
    </row>
    <row r="780" spans="10:10" ht="13">
      <c r="J780" s="226"/>
    </row>
    <row r="781" spans="10:10" ht="13">
      <c r="J781" s="226"/>
    </row>
    <row r="782" spans="10:10" ht="13">
      <c r="J782" s="226"/>
    </row>
    <row r="783" spans="10:10" ht="13">
      <c r="J783" s="226"/>
    </row>
    <row r="784" spans="10:10" ht="13">
      <c r="J784" s="226"/>
    </row>
    <row r="785" spans="10:10" ht="13">
      <c r="J785" s="226"/>
    </row>
    <row r="786" spans="10:10" ht="13">
      <c r="J786" s="226"/>
    </row>
    <row r="787" spans="10:10" ht="13">
      <c r="J787" s="226"/>
    </row>
    <row r="788" spans="10:10" ht="13">
      <c r="J788" s="226"/>
    </row>
    <row r="789" spans="10:10" ht="13">
      <c r="J789" s="226"/>
    </row>
    <row r="790" spans="10:10" ht="13">
      <c r="J790" s="226"/>
    </row>
    <row r="791" spans="10:10" ht="13">
      <c r="J791" s="226"/>
    </row>
    <row r="792" spans="10:10" ht="13">
      <c r="J792" s="226"/>
    </row>
    <row r="793" spans="10:10" ht="13">
      <c r="J793" s="226"/>
    </row>
    <row r="794" spans="10:10" ht="13">
      <c r="J794" s="226"/>
    </row>
    <row r="795" spans="10:10" ht="13">
      <c r="J795" s="226"/>
    </row>
    <row r="796" spans="10:10" ht="13">
      <c r="J796" s="226"/>
    </row>
    <row r="797" spans="10:10" ht="13">
      <c r="J797" s="226"/>
    </row>
    <row r="798" spans="10:10" ht="13">
      <c r="J798" s="226"/>
    </row>
    <row r="799" spans="10:10" ht="13">
      <c r="J799" s="226"/>
    </row>
    <row r="800" spans="10:10" ht="13">
      <c r="J800" s="226"/>
    </row>
    <row r="801" spans="10:10" ht="13">
      <c r="J801" s="226"/>
    </row>
    <row r="802" spans="10:10" ht="13">
      <c r="J802" s="226"/>
    </row>
    <row r="803" spans="10:10" ht="13">
      <c r="J803" s="226"/>
    </row>
    <row r="804" spans="10:10" ht="13">
      <c r="J804" s="226"/>
    </row>
    <row r="805" spans="10:10" ht="13">
      <c r="J805" s="226"/>
    </row>
    <row r="806" spans="10:10" ht="13">
      <c r="J806" s="226"/>
    </row>
    <row r="807" spans="10:10" ht="13">
      <c r="J807" s="226"/>
    </row>
    <row r="808" spans="10:10" ht="13">
      <c r="J808" s="226"/>
    </row>
    <row r="809" spans="10:10" ht="13">
      <c r="J809" s="226"/>
    </row>
    <row r="810" spans="10:10" ht="13">
      <c r="J810" s="226"/>
    </row>
    <row r="811" spans="10:10" ht="13">
      <c r="J811" s="226"/>
    </row>
    <row r="812" spans="10:10" ht="13">
      <c r="J812" s="226"/>
    </row>
    <row r="813" spans="10:10" ht="13">
      <c r="J813" s="226"/>
    </row>
    <row r="814" spans="10:10" ht="13">
      <c r="J814" s="226"/>
    </row>
    <row r="815" spans="10:10" ht="13">
      <c r="J815" s="226"/>
    </row>
    <row r="816" spans="10:10" ht="13">
      <c r="J816" s="226"/>
    </row>
    <row r="817" spans="10:10" ht="13">
      <c r="J817" s="226"/>
    </row>
    <row r="818" spans="10:10" ht="13">
      <c r="J818" s="226"/>
    </row>
    <row r="819" spans="10:10" ht="13">
      <c r="J819" s="226"/>
    </row>
    <row r="820" spans="10:10" ht="13">
      <c r="J820" s="226"/>
    </row>
    <row r="821" spans="10:10" ht="13">
      <c r="J821" s="226"/>
    </row>
    <row r="822" spans="10:10" ht="13">
      <c r="J822" s="226"/>
    </row>
    <row r="823" spans="10:10" ht="13">
      <c r="J823" s="226"/>
    </row>
    <row r="824" spans="10:10" ht="13">
      <c r="J824" s="226"/>
    </row>
    <row r="825" spans="10:10" ht="13">
      <c r="J825" s="226"/>
    </row>
    <row r="826" spans="10:10" ht="13">
      <c r="J826" s="226"/>
    </row>
    <row r="827" spans="10:10" ht="13">
      <c r="J827" s="226"/>
    </row>
    <row r="828" spans="10:10" ht="13">
      <c r="J828" s="226"/>
    </row>
    <row r="829" spans="10:10" ht="13">
      <c r="J829" s="226"/>
    </row>
    <row r="830" spans="10:10" ht="13">
      <c r="J830" s="226"/>
    </row>
    <row r="831" spans="10:10" ht="13">
      <c r="J831" s="226"/>
    </row>
    <row r="832" spans="10:10" ht="13">
      <c r="J832" s="226"/>
    </row>
    <row r="833" spans="10:10" ht="13">
      <c r="J833" s="226"/>
    </row>
    <row r="834" spans="10:10" ht="13">
      <c r="J834" s="226"/>
    </row>
    <row r="835" spans="10:10" ht="13">
      <c r="J835" s="226"/>
    </row>
    <row r="836" spans="10:10" ht="13">
      <c r="J836" s="226"/>
    </row>
    <row r="837" spans="10:10" ht="13">
      <c r="J837" s="226"/>
    </row>
    <row r="838" spans="10:10" ht="13">
      <c r="J838" s="226"/>
    </row>
    <row r="839" spans="10:10" ht="13">
      <c r="J839" s="226"/>
    </row>
    <row r="840" spans="10:10" ht="13">
      <c r="J840" s="226"/>
    </row>
    <row r="841" spans="10:10" ht="13">
      <c r="J841" s="226"/>
    </row>
    <row r="842" spans="10:10" ht="13">
      <c r="J842" s="226"/>
    </row>
    <row r="843" spans="10:10" ht="13">
      <c r="J843" s="226"/>
    </row>
    <row r="844" spans="10:10" ht="13">
      <c r="J844" s="226"/>
    </row>
    <row r="845" spans="10:10" ht="13">
      <c r="J845" s="226"/>
    </row>
    <row r="846" spans="10:10" ht="13">
      <c r="J846" s="226"/>
    </row>
    <row r="847" spans="10:10" ht="13">
      <c r="J847" s="226"/>
    </row>
    <row r="848" spans="10:10" ht="13">
      <c r="J848" s="226"/>
    </row>
    <row r="849" spans="10:10" ht="13">
      <c r="J849" s="226"/>
    </row>
    <row r="850" spans="10:10" ht="13">
      <c r="J850" s="226"/>
    </row>
    <row r="851" spans="10:10" ht="13">
      <c r="J851" s="226"/>
    </row>
    <row r="852" spans="10:10" ht="13">
      <c r="J852" s="226"/>
    </row>
    <row r="853" spans="10:10" ht="13">
      <c r="J853" s="226"/>
    </row>
    <row r="854" spans="10:10" ht="13">
      <c r="J854" s="226"/>
    </row>
    <row r="855" spans="10:10" ht="13">
      <c r="J855" s="226"/>
    </row>
    <row r="856" spans="10:10" ht="13">
      <c r="J856" s="226"/>
    </row>
    <row r="857" spans="10:10" ht="13">
      <c r="J857" s="226"/>
    </row>
    <row r="858" spans="10:10" ht="13">
      <c r="J858" s="226"/>
    </row>
    <row r="859" spans="10:10" ht="13">
      <c r="J859" s="226"/>
    </row>
    <row r="860" spans="10:10" ht="13">
      <c r="J860" s="226"/>
    </row>
    <row r="861" spans="10:10" ht="13">
      <c r="J861" s="226"/>
    </row>
    <row r="862" spans="10:10" ht="13">
      <c r="J862" s="226"/>
    </row>
    <row r="863" spans="10:10" ht="13">
      <c r="J863" s="226"/>
    </row>
    <row r="864" spans="10:10" ht="13">
      <c r="J864" s="226"/>
    </row>
    <row r="865" spans="10:10" ht="13">
      <c r="J865" s="226"/>
    </row>
    <row r="866" spans="10:10" ht="13">
      <c r="J866" s="226"/>
    </row>
    <row r="867" spans="10:10" ht="13">
      <c r="J867" s="226"/>
    </row>
    <row r="868" spans="10:10" ht="13">
      <c r="J868" s="226"/>
    </row>
    <row r="869" spans="10:10" ht="13">
      <c r="J869" s="226"/>
    </row>
    <row r="870" spans="10:10" ht="13">
      <c r="J870" s="226"/>
    </row>
    <row r="871" spans="10:10" ht="13">
      <c r="J871" s="226"/>
    </row>
    <row r="872" spans="10:10" ht="13">
      <c r="J872" s="226"/>
    </row>
    <row r="873" spans="10:10" ht="13">
      <c r="J873" s="226"/>
    </row>
    <row r="874" spans="10:10" ht="13">
      <c r="J874" s="226"/>
    </row>
    <row r="875" spans="10:10" ht="13">
      <c r="J875" s="226"/>
    </row>
    <row r="876" spans="10:10" ht="13">
      <c r="J876" s="226"/>
    </row>
    <row r="877" spans="10:10" ht="13">
      <c r="J877" s="226"/>
    </row>
    <row r="878" spans="10:10" ht="13">
      <c r="J878" s="226"/>
    </row>
    <row r="879" spans="10:10" ht="13">
      <c r="J879" s="226"/>
    </row>
    <row r="880" spans="10:10" ht="13">
      <c r="J880" s="226"/>
    </row>
    <row r="881" spans="10:10" ht="13">
      <c r="J881" s="226"/>
    </row>
    <row r="882" spans="10:10" ht="13">
      <c r="J882" s="226"/>
    </row>
    <row r="883" spans="10:10" ht="13">
      <c r="J883" s="226"/>
    </row>
    <row r="884" spans="10:10" ht="13">
      <c r="J884" s="226"/>
    </row>
    <row r="885" spans="10:10" ht="13">
      <c r="J885" s="226"/>
    </row>
    <row r="886" spans="10:10" ht="13">
      <c r="J886" s="226"/>
    </row>
    <row r="887" spans="10:10" ht="13">
      <c r="J887" s="226"/>
    </row>
    <row r="888" spans="10:10" ht="13">
      <c r="J888" s="226"/>
    </row>
    <row r="889" spans="10:10" ht="13">
      <c r="J889" s="226"/>
    </row>
    <row r="890" spans="10:10" ht="13">
      <c r="J890" s="226"/>
    </row>
    <row r="891" spans="10:10" ht="13">
      <c r="J891" s="226"/>
    </row>
    <row r="892" spans="10:10" ht="13">
      <c r="J892" s="226"/>
    </row>
    <row r="893" spans="10:10" ht="13">
      <c r="J893" s="226"/>
    </row>
    <row r="894" spans="10:10" ht="13">
      <c r="J894" s="226"/>
    </row>
    <row r="895" spans="10:10" ht="13">
      <c r="J895" s="226"/>
    </row>
    <row r="896" spans="10:10" ht="13">
      <c r="J896" s="226"/>
    </row>
    <row r="897" spans="10:10" ht="13">
      <c r="J897" s="226"/>
    </row>
    <row r="898" spans="10:10" ht="13">
      <c r="J898" s="226"/>
    </row>
    <row r="899" spans="10:10" ht="13">
      <c r="J899" s="226"/>
    </row>
    <row r="900" spans="10:10" ht="13">
      <c r="J900" s="226"/>
    </row>
    <row r="901" spans="10:10" ht="13">
      <c r="J901" s="226"/>
    </row>
    <row r="902" spans="10:10" ht="13">
      <c r="J902" s="226"/>
    </row>
    <row r="903" spans="10:10" ht="13">
      <c r="J903" s="226"/>
    </row>
    <row r="904" spans="10:10" ht="13">
      <c r="J904" s="226"/>
    </row>
    <row r="905" spans="10:10" ht="13">
      <c r="J905" s="226"/>
    </row>
    <row r="906" spans="10:10" ht="13">
      <c r="J906" s="226"/>
    </row>
    <row r="907" spans="10:10" ht="13">
      <c r="J907" s="226"/>
    </row>
    <row r="908" spans="10:10" ht="13">
      <c r="J908" s="226"/>
    </row>
    <row r="909" spans="10:10" ht="13">
      <c r="J909" s="226"/>
    </row>
    <row r="910" spans="10:10" ht="13">
      <c r="J910" s="226"/>
    </row>
    <row r="911" spans="10:10" ht="13">
      <c r="J911" s="226"/>
    </row>
    <row r="912" spans="10:10" ht="13">
      <c r="J912" s="226"/>
    </row>
    <row r="913" spans="10:10" ht="13">
      <c r="J913" s="226"/>
    </row>
    <row r="914" spans="10:10" ht="13">
      <c r="J914" s="226"/>
    </row>
    <row r="915" spans="10:10" ht="13">
      <c r="J915" s="226"/>
    </row>
    <row r="916" spans="10:10" ht="13">
      <c r="J916" s="226"/>
    </row>
    <row r="917" spans="10:10" ht="13">
      <c r="J917" s="226"/>
    </row>
    <row r="918" spans="10:10" ht="13">
      <c r="J918" s="226"/>
    </row>
    <row r="919" spans="10:10" ht="13">
      <c r="J919" s="226"/>
    </row>
    <row r="920" spans="10:10" ht="13">
      <c r="J920" s="226"/>
    </row>
    <row r="921" spans="10:10" ht="13">
      <c r="J921" s="226"/>
    </row>
    <row r="922" spans="10:10" ht="13">
      <c r="J922" s="226"/>
    </row>
    <row r="923" spans="10:10" ht="13">
      <c r="J923" s="226"/>
    </row>
    <row r="924" spans="10:10" ht="13">
      <c r="J924" s="226"/>
    </row>
    <row r="925" spans="10:10" ht="13">
      <c r="J925" s="226"/>
    </row>
    <row r="926" spans="10:10" ht="13">
      <c r="J926" s="226"/>
    </row>
    <row r="927" spans="10:10" ht="13">
      <c r="J927" s="226"/>
    </row>
    <row r="928" spans="10:10" ht="13">
      <c r="J928" s="226"/>
    </row>
    <row r="929" spans="10:10" ht="13">
      <c r="J929" s="226"/>
    </row>
    <row r="930" spans="10:10" ht="13">
      <c r="J930" s="226"/>
    </row>
    <row r="931" spans="10:10" ht="13">
      <c r="J931" s="226"/>
    </row>
    <row r="932" spans="10:10" ht="13">
      <c r="J932" s="226"/>
    </row>
    <row r="933" spans="10:10" ht="13">
      <c r="J933" s="226"/>
    </row>
    <row r="934" spans="10:10" ht="13">
      <c r="J934" s="226"/>
    </row>
    <row r="935" spans="10:10" ht="13">
      <c r="J935" s="226"/>
    </row>
    <row r="936" spans="10:10" ht="13">
      <c r="J936" s="226"/>
    </row>
    <row r="937" spans="10:10" ht="13">
      <c r="J937" s="226"/>
    </row>
    <row r="938" spans="10:10" ht="13">
      <c r="J938" s="226"/>
    </row>
    <row r="939" spans="10:10" ht="13">
      <c r="J939" s="226"/>
    </row>
    <row r="940" spans="10:10" ht="13">
      <c r="J940" s="226"/>
    </row>
    <row r="941" spans="10:10" ht="13">
      <c r="J941" s="226"/>
    </row>
    <row r="942" spans="10:10" ht="13">
      <c r="J942" s="226"/>
    </row>
    <row r="943" spans="10:10" ht="13">
      <c r="J943" s="226"/>
    </row>
    <row r="944" spans="10:10" ht="13">
      <c r="J944" s="226"/>
    </row>
    <row r="945" spans="10:10" ht="13">
      <c r="J945" s="226"/>
    </row>
    <row r="946" spans="10:10" ht="13">
      <c r="J946" s="226"/>
    </row>
    <row r="947" spans="10:10" ht="13">
      <c r="J947" s="226"/>
    </row>
    <row r="948" spans="10:10" ht="13">
      <c r="J948" s="226"/>
    </row>
    <row r="949" spans="10:10" ht="13">
      <c r="J949" s="226"/>
    </row>
    <row r="950" spans="10:10" ht="13">
      <c r="J950" s="226"/>
    </row>
    <row r="951" spans="10:10" ht="13">
      <c r="J951" s="226"/>
    </row>
    <row r="952" spans="10:10" ht="13">
      <c r="J952" s="226"/>
    </row>
    <row r="953" spans="10:10" ht="13">
      <c r="J953" s="226"/>
    </row>
    <row r="954" spans="10:10" ht="13">
      <c r="J954" s="226"/>
    </row>
    <row r="955" spans="10:10" ht="13">
      <c r="J955" s="226"/>
    </row>
    <row r="956" spans="10:10" ht="13">
      <c r="J956" s="226"/>
    </row>
    <row r="957" spans="10:10" ht="13">
      <c r="J957" s="226"/>
    </row>
    <row r="958" spans="10:10" ht="13">
      <c r="J958" s="226"/>
    </row>
    <row r="959" spans="10:10" ht="13">
      <c r="J959" s="226"/>
    </row>
    <row r="960" spans="10:10" ht="13">
      <c r="J960" s="226"/>
    </row>
    <row r="961" spans="10:10" ht="13">
      <c r="J961" s="226"/>
    </row>
    <row r="962" spans="10:10" ht="13">
      <c r="J962" s="226"/>
    </row>
    <row r="963" spans="10:10" ht="13">
      <c r="J963" s="226"/>
    </row>
    <row r="964" spans="10:10" ht="13">
      <c r="J964" s="226"/>
    </row>
    <row r="965" spans="10:10" ht="13">
      <c r="J965" s="226"/>
    </row>
    <row r="966" spans="10:10" ht="13">
      <c r="J966" s="226"/>
    </row>
    <row r="967" spans="10:10" ht="13">
      <c r="J967" s="226"/>
    </row>
    <row r="968" spans="10:10" ht="13">
      <c r="J968" s="226"/>
    </row>
    <row r="969" spans="10:10" ht="13">
      <c r="J969" s="226"/>
    </row>
    <row r="970" spans="10:10" ht="13">
      <c r="J970" s="226"/>
    </row>
    <row r="971" spans="10:10" ht="13">
      <c r="J971" s="226"/>
    </row>
    <row r="972" spans="10:10" ht="13">
      <c r="J972" s="226"/>
    </row>
    <row r="973" spans="10:10" ht="13">
      <c r="J973" s="226"/>
    </row>
    <row r="974" spans="10:10" ht="13">
      <c r="J974" s="226"/>
    </row>
    <row r="975" spans="10:10" ht="13">
      <c r="J975" s="226"/>
    </row>
    <row r="976" spans="10:10" ht="13">
      <c r="J976" s="226"/>
    </row>
    <row r="977" spans="10:10" ht="13">
      <c r="J977" s="226"/>
    </row>
    <row r="978" spans="10:10" ht="13">
      <c r="J978" s="226"/>
    </row>
    <row r="979" spans="10:10" ht="13">
      <c r="J979" s="226"/>
    </row>
    <row r="980" spans="10:10" ht="13">
      <c r="J980" s="226"/>
    </row>
    <row r="981" spans="10:10" ht="13">
      <c r="J981" s="226"/>
    </row>
    <row r="982" spans="10:10" ht="13">
      <c r="J982" s="226"/>
    </row>
    <row r="983" spans="10:10" ht="13">
      <c r="J983" s="226"/>
    </row>
    <row r="984" spans="10:10" ht="13">
      <c r="J984" s="226"/>
    </row>
    <row r="985" spans="10:10" ht="13">
      <c r="J985" s="226"/>
    </row>
    <row r="986" spans="10:10" ht="13">
      <c r="J986" s="226"/>
    </row>
    <row r="987" spans="10:10" ht="13">
      <c r="J987" s="226"/>
    </row>
    <row r="988" spans="10:10" ht="13">
      <c r="J988" s="226"/>
    </row>
    <row r="989" spans="10:10" ht="13">
      <c r="J989" s="226"/>
    </row>
    <row r="990" spans="10:10" ht="13">
      <c r="J990" s="226"/>
    </row>
    <row r="991" spans="10:10" ht="13">
      <c r="J991" s="226"/>
    </row>
    <row r="992" spans="10:10" ht="13">
      <c r="J992" s="226"/>
    </row>
    <row r="993" spans="10:10" ht="13">
      <c r="J993" s="226"/>
    </row>
    <row r="994" spans="10:10" ht="13">
      <c r="J994" s="226"/>
    </row>
    <row r="995" spans="10:10" ht="13">
      <c r="J995" s="226"/>
    </row>
    <row r="996" spans="10:10" ht="13">
      <c r="J996" s="226"/>
    </row>
    <row r="997" spans="10:10" ht="13">
      <c r="J997" s="226"/>
    </row>
    <row r="998" spans="10:10" ht="13">
      <c r="J998" s="226"/>
    </row>
    <row r="999" spans="10:10" ht="13">
      <c r="J999" s="226"/>
    </row>
    <row r="1000" spans="10:10" ht="13">
      <c r="J1000" s="226"/>
    </row>
    <row r="1001" spans="10:10" ht="13">
      <c r="J1001" s="226"/>
    </row>
    <row r="1002" spans="10:10" ht="13">
      <c r="J1002" s="226"/>
    </row>
    <row r="1003" spans="10:10" ht="13">
      <c r="J1003" s="226"/>
    </row>
    <row r="1004" spans="10:10" ht="13">
      <c r="J1004" s="226"/>
    </row>
    <row r="1005" spans="10:10" ht="13">
      <c r="J1005" s="226"/>
    </row>
    <row r="1006" spans="10:10" ht="13">
      <c r="J1006" s="226"/>
    </row>
    <row r="1007" spans="10:10" ht="13">
      <c r="J1007" s="226"/>
    </row>
    <row r="1008" spans="10:10" ht="13">
      <c r="J1008" s="226"/>
    </row>
    <row r="1009" spans="10:10" ht="13">
      <c r="J1009" s="226"/>
    </row>
    <row r="1010" spans="10:10" ht="13">
      <c r="J1010" s="226"/>
    </row>
    <row r="1011" spans="10:10" ht="13">
      <c r="J1011" s="226"/>
    </row>
    <row r="1012" spans="10:10" ht="13">
      <c r="J1012" s="226"/>
    </row>
    <row r="1013" spans="10:10" ht="13">
      <c r="J1013" s="226"/>
    </row>
    <row r="1014" spans="10:10" ht="13">
      <c r="J1014" s="226"/>
    </row>
    <row r="1015" spans="10:10" ht="13">
      <c r="J1015" s="226"/>
    </row>
    <row r="1016" spans="10:10" ht="13">
      <c r="J1016" s="226"/>
    </row>
    <row r="1017" spans="10:10" ht="13">
      <c r="J1017" s="226"/>
    </row>
    <row r="1018" spans="10:10" ht="13">
      <c r="J1018" s="226"/>
    </row>
    <row r="1019" spans="10:10" ht="13">
      <c r="J1019" s="226"/>
    </row>
    <row r="1020" spans="10:10" ht="13">
      <c r="J1020" s="226"/>
    </row>
    <row r="1021" spans="10:10" ht="13">
      <c r="J1021" s="226"/>
    </row>
    <row r="1022" spans="10:10" ht="13">
      <c r="J1022" s="226"/>
    </row>
    <row r="1023" spans="10:10" ht="13">
      <c r="J1023" s="226"/>
    </row>
    <row r="1024" spans="10:10" ht="13">
      <c r="J1024" s="226"/>
    </row>
    <row r="1025" spans="10:10" ht="13">
      <c r="J1025" s="226"/>
    </row>
    <row r="1026" spans="10:10" ht="13">
      <c r="J1026" s="226"/>
    </row>
    <row r="1027" spans="10:10" ht="13">
      <c r="J1027" s="226"/>
    </row>
    <row r="1028" spans="10:10" ht="13">
      <c r="J1028" s="226"/>
    </row>
    <row r="1029" spans="10:10" ht="13">
      <c r="J1029" s="226"/>
    </row>
    <row r="1030" spans="10:10" ht="13">
      <c r="J1030" s="226"/>
    </row>
    <row r="1031" spans="10:10" ht="13">
      <c r="J1031" s="226"/>
    </row>
    <row r="1032" spans="10:10" ht="13">
      <c r="J1032" s="226"/>
    </row>
    <row r="1033" spans="10:10" ht="13">
      <c r="J1033" s="226"/>
    </row>
    <row r="1034" spans="10:10" ht="13">
      <c r="J1034" s="226"/>
    </row>
    <row r="1035" spans="10:10" ht="13">
      <c r="J1035" s="226"/>
    </row>
    <row r="1036" spans="10:10" ht="13">
      <c r="J1036" s="226"/>
    </row>
    <row r="1037" spans="10:10" ht="13">
      <c r="J1037" s="226"/>
    </row>
    <row r="1038" spans="10:10" ht="13">
      <c r="J1038" s="226"/>
    </row>
    <row r="1039" spans="10:10" ht="13">
      <c r="J1039" s="226"/>
    </row>
    <row r="1040" spans="10:10" ht="13">
      <c r="J1040" s="226"/>
    </row>
    <row r="1041" spans="10:10" ht="13">
      <c r="J1041" s="226"/>
    </row>
    <row r="1042" spans="10:10" ht="13">
      <c r="J1042" s="226"/>
    </row>
    <row r="1043" spans="10:10" ht="13">
      <c r="J1043" s="226"/>
    </row>
    <row r="1044" spans="10:10" ht="13">
      <c r="J1044" s="226"/>
    </row>
    <row r="1045" spans="10:10" ht="13">
      <c r="J1045" s="226"/>
    </row>
    <row r="1046" spans="10:10" ht="13">
      <c r="J1046" s="226"/>
    </row>
    <row r="1047" spans="10:10" ht="13">
      <c r="J1047" s="226"/>
    </row>
    <row r="1048" spans="10:10" ht="13">
      <c r="J1048" s="226"/>
    </row>
    <row r="1049" spans="10:10" ht="13">
      <c r="J1049" s="226"/>
    </row>
    <row r="1050" spans="10:10" ht="13">
      <c r="J1050" s="226"/>
    </row>
    <row r="1051" spans="10:10" ht="13">
      <c r="J1051" s="226"/>
    </row>
    <row r="1052" spans="10:10" ht="13">
      <c r="J1052" s="226"/>
    </row>
    <row r="1053" spans="10:10" ht="13">
      <c r="J1053" s="226"/>
    </row>
    <row r="1054" spans="10:10" ht="13">
      <c r="J1054" s="226"/>
    </row>
    <row r="1055" spans="10:10" ht="13">
      <c r="J1055" s="226"/>
    </row>
    <row r="1056" spans="10:10" ht="13">
      <c r="J1056" s="226"/>
    </row>
    <row r="1057" spans="10:10" ht="13">
      <c r="J1057" s="226"/>
    </row>
    <row r="1058" spans="10:10" ht="13">
      <c r="J1058" s="226"/>
    </row>
    <row r="1059" spans="10:10" ht="13">
      <c r="J1059" s="226"/>
    </row>
    <row r="1060" spans="10:10" ht="13">
      <c r="J1060" s="226"/>
    </row>
    <row r="1061" spans="10:10" ht="13">
      <c r="J1061" s="226"/>
    </row>
    <row r="1062" spans="10:10" ht="13">
      <c r="J1062" s="226"/>
    </row>
    <row r="1063" spans="10:10" ht="13">
      <c r="J1063" s="226"/>
    </row>
    <row r="1064" spans="10:10" ht="13">
      <c r="J1064" s="226"/>
    </row>
    <row r="1065" spans="10:10" ht="13">
      <c r="J1065" s="226"/>
    </row>
    <row r="1066" spans="10:10" ht="13">
      <c r="J1066" s="226"/>
    </row>
  </sheetData>
  <autoFilter ref="W1:W1066" xr:uid="{00000000-0009-0000-0000-00000E000000}"/>
  <conditionalFormatting sqref="C24:C26">
    <cfRule type="expression" dxfId="43" priority="1">
      <formula>(TODAY()-#REF!)&lt;0</formula>
    </cfRule>
  </conditionalFormatting>
  <conditionalFormatting sqref="C24:C26">
    <cfRule type="expression" dxfId="42" priority="2">
      <formula>(TODAY()-#REF!)&lt;180</formula>
    </cfRule>
  </conditionalFormatting>
  <conditionalFormatting sqref="C23">
    <cfRule type="expression" dxfId="41" priority="3">
      <formula>(TODAY()-#REF!)&lt;0</formula>
    </cfRule>
  </conditionalFormatting>
  <conditionalFormatting sqref="C23">
    <cfRule type="expression" dxfId="40" priority="4">
      <formula>(TODAY()-#REF!)&lt;180</formula>
    </cfRule>
  </conditionalFormatting>
  <conditionalFormatting sqref="D1 D3:D10">
    <cfRule type="cellIs" dxfId="39" priority="5" operator="between">
      <formula>50</formula>
      <formula>200</formula>
    </cfRule>
  </conditionalFormatting>
  <conditionalFormatting sqref="D1 D3:D10">
    <cfRule type="cellIs" dxfId="38" priority="6" operator="between">
      <formula>201</formula>
      <formula>400</formula>
    </cfRule>
  </conditionalFormatting>
  <conditionalFormatting sqref="D3:D10">
    <cfRule type="cellIs" dxfId="37" priority="7" operator="between">
      <formula>401</formula>
      <formula>650</formula>
    </cfRule>
  </conditionalFormatting>
  <conditionalFormatting sqref="D3:D10">
    <cfRule type="cellIs" dxfId="36" priority="8" operator="between">
      <formula>651</formula>
      <formula>900</formula>
    </cfRule>
  </conditionalFormatting>
  <conditionalFormatting sqref="D3:D10">
    <cfRule type="cellIs" dxfId="35" priority="9" operator="greaterThan">
      <formula>900</formula>
    </cfRule>
  </conditionalFormatting>
  <conditionalFormatting sqref="S3:S1061">
    <cfRule type="containsText" dxfId="34" priority="10" operator="containsText" text="yes">
      <formula>NOT(ISERROR(SEARCH(("yes"),(S3))))</formula>
    </cfRule>
  </conditionalFormatting>
  <conditionalFormatting sqref="H1:H1066">
    <cfRule type="colorScale" priority="11">
      <colorScale>
        <cfvo type="min"/>
        <cfvo type="formula" val="150"/>
        <color rgb="FFEAD1DC"/>
        <color rgb="FFA64D79"/>
      </colorScale>
    </cfRule>
  </conditionalFormatting>
  <conditionalFormatting sqref="F3:F21">
    <cfRule type="colorScale" priority="12">
      <colorScale>
        <cfvo type="formula" val="1.2"/>
        <cfvo type="formula" val="4"/>
        <color rgb="FF0B5394"/>
        <color rgb="FFFFFFFF"/>
      </colorScale>
    </cfRule>
  </conditionalFormatting>
  <conditionalFormatting sqref="G3:G74">
    <cfRule type="colorScale" priority="13">
      <colorScale>
        <cfvo type="formula" val="65"/>
        <cfvo type="formula" val="100"/>
        <color rgb="FFD9D2E9"/>
        <color rgb="FF674EA7"/>
      </colorScale>
    </cfRule>
  </conditionalFormatting>
  <conditionalFormatting sqref="F3:F74">
    <cfRule type="containsText" dxfId="33" priority="14" operator="containsText" text="1.2">
      <formula>NOT(ISERROR(SEARCH(("1.2"),(F3))))</formula>
    </cfRule>
  </conditionalFormatting>
  <conditionalFormatting sqref="F10">
    <cfRule type="notContainsBlanks" dxfId="32" priority="15">
      <formula>LEN(TRIM(F10))&gt;0</formula>
    </cfRule>
  </conditionalFormatting>
  <conditionalFormatting sqref="F3:F74">
    <cfRule type="containsText" dxfId="31" priority="16" operator="containsText" text="1.4">
      <formula>NOT(ISERROR(SEARCH(("1.4"),(F3))))</formula>
    </cfRule>
  </conditionalFormatting>
  <conditionalFormatting sqref="F3:F93">
    <cfRule type="containsText" dxfId="30" priority="17" operator="containsText" text="1.8">
      <formula>NOT(ISERROR(SEARCH(("1.8"),(F3))))</formula>
    </cfRule>
  </conditionalFormatting>
  <conditionalFormatting sqref="A3:B92 C3:C10 C12:C22 C27:C92">
    <cfRule type="expression" dxfId="29" priority="18">
      <formula>(TODAY()-V3)&lt;0</formula>
    </cfRule>
  </conditionalFormatting>
  <conditionalFormatting sqref="A3:B92 C3:C10 C12:C22 C27:C92">
    <cfRule type="expression" dxfId="28" priority="19">
      <formula>(TODAY()-V3)&lt;180</formula>
    </cfRule>
  </conditionalFormatting>
  <conditionalFormatting sqref="I3:I104">
    <cfRule type="cellIs" dxfId="27" priority="20" operator="equal">
      <formula>"MF"</formula>
    </cfRule>
  </conditionalFormatting>
  <conditionalFormatting sqref="K3:K104">
    <cfRule type="cellIs" dxfId="26" priority="21" operator="between">
      <formula>0.24</formula>
      <formula>0.45</formula>
    </cfRule>
  </conditionalFormatting>
  <conditionalFormatting sqref="K3:K104">
    <cfRule type="cellIs" dxfId="25" priority="22" operator="between">
      <formula>0.45</formula>
      <formula>0.99</formula>
    </cfRule>
  </conditionalFormatting>
  <conditionalFormatting sqref="K3:K104">
    <cfRule type="cellIs" dxfId="24" priority="23" operator="greaterThan">
      <formula>0.99</formula>
    </cfRule>
  </conditionalFormatting>
  <dataValidations count="1">
    <dataValidation type="list" allowBlank="1" sqref="V3:V74" xr:uid="{00000000-0002-0000-0E00-000000000000}">
      <formula1>"Sony,Voigtlander,Zeiss,Sigma,Samyang,Viltrox,Tokina,Tamron"</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W106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9.1640625" customWidth="1"/>
    <col min="2" max="2" width="6.5" customWidth="1"/>
    <col min="3" max="3" width="8.1640625" customWidth="1"/>
    <col min="4" max="4" width="8" customWidth="1"/>
    <col min="5" max="6" width="7.33203125" customWidth="1"/>
    <col min="7" max="7" width="4" customWidth="1"/>
    <col min="8" max="8" width="7.1640625" customWidth="1"/>
    <col min="9" max="9" width="4.5" customWidth="1"/>
    <col min="10" max="10" width="7.5" customWidth="1"/>
    <col min="11" max="11" width="5.5" customWidth="1"/>
    <col min="12" max="12" width="5" customWidth="1"/>
    <col min="13" max="13" width="6.1640625" customWidth="1"/>
    <col min="14" max="14" width="13.33203125" customWidth="1"/>
    <col min="15" max="15" width="7.5" customWidth="1"/>
    <col min="16" max="17" width="7.6640625" customWidth="1"/>
    <col min="18" max="21" width="4" customWidth="1"/>
  </cols>
  <sheetData>
    <row r="1" spans="1:23" ht="76.5" customHeight="1">
      <c r="A1" s="1" t="s">
        <v>0</v>
      </c>
      <c r="B1" s="2" t="s">
        <v>1</v>
      </c>
      <c r="C1" s="3" t="s">
        <v>2</v>
      </c>
      <c r="D1" s="4" t="s">
        <v>3</v>
      </c>
      <c r="E1" s="5" t="s">
        <v>4</v>
      </c>
      <c r="F1" s="6" t="s">
        <v>5</v>
      </c>
      <c r="G1" s="7" t="s">
        <v>6</v>
      </c>
      <c r="H1" s="8" t="s">
        <v>7</v>
      </c>
      <c r="I1" s="3" t="s">
        <v>8</v>
      </c>
      <c r="J1" s="3" t="s">
        <v>10</v>
      </c>
      <c r="K1" s="5" t="s">
        <v>11</v>
      </c>
      <c r="L1" s="3" t="s">
        <v>12</v>
      </c>
      <c r="M1" s="3" t="s">
        <v>13</v>
      </c>
      <c r="N1" s="3" t="s">
        <v>14</v>
      </c>
      <c r="O1" s="3" t="s">
        <v>15</v>
      </c>
      <c r="P1" s="9" t="s">
        <v>9</v>
      </c>
      <c r="Q1" s="9" t="s">
        <v>16</v>
      </c>
      <c r="R1" s="10" t="s">
        <v>18</v>
      </c>
      <c r="S1" s="11" t="s">
        <v>19</v>
      </c>
      <c r="T1" s="10" t="s">
        <v>20</v>
      </c>
      <c r="U1" s="12" t="s">
        <v>21</v>
      </c>
      <c r="V1" s="13" t="s">
        <v>22</v>
      </c>
    </row>
    <row r="2" spans="1:23" ht="18" customHeight="1">
      <c r="A2" s="14" t="s">
        <v>23</v>
      </c>
      <c r="B2" s="15"/>
      <c r="C2" s="15"/>
      <c r="D2" s="15"/>
      <c r="E2" s="15"/>
      <c r="F2" s="15"/>
      <c r="G2" s="16"/>
      <c r="H2" s="17"/>
      <c r="I2" s="15"/>
      <c r="J2" s="15"/>
      <c r="K2" s="16"/>
      <c r="L2" s="15"/>
      <c r="M2" s="16"/>
      <c r="N2" s="18"/>
      <c r="O2" s="16"/>
      <c r="P2" s="15"/>
      <c r="Q2" s="15"/>
      <c r="R2" s="15"/>
      <c r="S2" s="15"/>
      <c r="T2" s="15"/>
      <c r="U2" s="15"/>
    </row>
    <row r="3" spans="1:23" ht="13">
      <c r="A3" s="172" t="s">
        <v>253</v>
      </c>
      <c r="B3" s="21">
        <v>494</v>
      </c>
      <c r="C3" s="23">
        <v>16</v>
      </c>
      <c r="D3" s="25">
        <v>2.8</v>
      </c>
      <c r="E3" s="27">
        <v>73</v>
      </c>
      <c r="F3" s="29">
        <v>100</v>
      </c>
      <c r="G3" s="31" t="s">
        <v>36</v>
      </c>
      <c r="H3" s="33"/>
      <c r="I3" s="35"/>
      <c r="J3" s="37"/>
      <c r="K3" s="39"/>
      <c r="L3" s="35"/>
      <c r="M3" s="40"/>
      <c r="N3" s="35"/>
      <c r="O3" s="42"/>
      <c r="P3" s="44"/>
      <c r="Q3" s="44"/>
      <c r="R3" s="174"/>
      <c r="S3" s="174"/>
      <c r="T3" s="174"/>
      <c r="U3" s="174"/>
      <c r="V3" s="56"/>
    </row>
    <row r="4" spans="1:23" ht="13">
      <c r="A4" s="66"/>
      <c r="B4" s="50"/>
      <c r="C4" s="68"/>
      <c r="D4" s="52"/>
      <c r="E4" s="78"/>
      <c r="F4" s="51"/>
      <c r="G4" s="73"/>
      <c r="H4" s="57"/>
      <c r="I4" s="59"/>
      <c r="J4" s="71"/>
      <c r="K4" s="73"/>
      <c r="L4" s="59"/>
      <c r="M4" s="81"/>
      <c r="N4" s="59"/>
      <c r="O4" s="83"/>
      <c r="P4" s="61"/>
      <c r="Q4" s="61"/>
      <c r="R4" s="63"/>
      <c r="S4" s="63"/>
      <c r="T4" s="63"/>
      <c r="U4" s="63"/>
    </row>
    <row r="5" spans="1:23" ht="13">
      <c r="A5" s="172"/>
      <c r="B5" s="21"/>
      <c r="C5" s="23"/>
      <c r="D5" s="25"/>
      <c r="E5" s="95"/>
      <c r="F5" s="29"/>
      <c r="G5" s="39"/>
      <c r="H5" s="33"/>
      <c r="I5" s="35"/>
      <c r="J5" s="37"/>
      <c r="K5" s="39"/>
      <c r="L5" s="35"/>
      <c r="M5" s="40"/>
      <c r="N5" s="35"/>
      <c r="O5" s="42"/>
      <c r="P5" s="44"/>
      <c r="Q5" s="44"/>
      <c r="R5" s="97"/>
      <c r="S5" s="97"/>
      <c r="T5" s="97"/>
      <c r="U5" s="174"/>
      <c r="V5" s="56"/>
    </row>
    <row r="6" spans="1:23" ht="13">
      <c r="A6" s="66"/>
      <c r="B6" s="50"/>
      <c r="C6" s="68"/>
      <c r="D6" s="106"/>
      <c r="E6" s="108"/>
      <c r="F6" s="109"/>
      <c r="G6" s="59"/>
      <c r="H6" s="57"/>
      <c r="I6" s="59"/>
      <c r="J6" s="71"/>
      <c r="K6" s="73"/>
      <c r="L6" s="59"/>
      <c r="M6" s="110"/>
      <c r="N6" s="59"/>
      <c r="O6" s="83"/>
      <c r="P6" s="61"/>
      <c r="Q6" s="61"/>
      <c r="R6" s="63"/>
      <c r="S6" s="63"/>
      <c r="T6" s="63"/>
      <c r="U6" s="63"/>
    </row>
    <row r="7" spans="1:23" ht="13">
      <c r="A7" s="58"/>
      <c r="B7" s="60"/>
      <c r="C7" s="62"/>
      <c r="D7" s="64"/>
      <c r="E7" s="65"/>
      <c r="F7" s="103"/>
      <c r="G7" s="74"/>
      <c r="H7" s="72"/>
      <c r="I7" s="74"/>
      <c r="J7" s="84"/>
      <c r="K7" s="70"/>
      <c r="L7" s="74"/>
      <c r="M7" s="115"/>
      <c r="N7" s="74"/>
      <c r="O7" s="88"/>
      <c r="P7" s="76"/>
      <c r="Q7" s="76"/>
      <c r="R7" s="121"/>
      <c r="S7" s="121"/>
      <c r="T7" s="113"/>
      <c r="U7" s="121"/>
    </row>
    <row r="8" spans="1:23" ht="13">
      <c r="A8" s="120"/>
      <c r="B8" s="21"/>
      <c r="C8" s="23"/>
      <c r="D8" s="25"/>
      <c r="E8" s="122"/>
      <c r="F8" s="123"/>
      <c r="G8" s="35"/>
      <c r="H8" s="33"/>
      <c r="I8" s="35"/>
      <c r="J8" s="37"/>
      <c r="K8" s="39"/>
      <c r="L8" s="35"/>
      <c r="M8" s="124"/>
      <c r="N8" s="35"/>
      <c r="O8" s="42"/>
      <c r="P8" s="44"/>
      <c r="Q8" s="44"/>
      <c r="R8" s="174"/>
      <c r="S8" s="174"/>
      <c r="T8" s="174"/>
      <c r="U8" s="174"/>
      <c r="V8" s="130"/>
    </row>
    <row r="9" spans="1:23" ht="13">
      <c r="A9" s="618"/>
      <c r="B9" s="133"/>
      <c r="C9" s="135"/>
      <c r="D9" s="137"/>
      <c r="E9" s="139"/>
      <c r="F9" s="141"/>
      <c r="G9" s="143"/>
      <c r="H9" s="145"/>
      <c r="I9" s="146"/>
      <c r="J9" s="147"/>
      <c r="K9" s="143"/>
      <c r="L9" s="146"/>
      <c r="M9" s="149"/>
      <c r="N9" s="146"/>
      <c r="O9" s="150"/>
      <c r="P9" s="151"/>
      <c r="Q9" s="151"/>
      <c r="R9" s="619"/>
      <c r="S9" s="619"/>
      <c r="T9" s="619"/>
      <c r="U9" s="619"/>
      <c r="V9" s="130"/>
    </row>
    <row r="10" spans="1:23" ht="13">
      <c r="A10" s="620"/>
      <c r="B10" s="50"/>
      <c r="C10" s="68"/>
      <c r="D10" s="52"/>
      <c r="E10" s="78"/>
      <c r="F10" s="51"/>
      <c r="G10" s="73"/>
      <c r="H10" s="57"/>
      <c r="I10" s="59"/>
      <c r="J10" s="71"/>
      <c r="K10" s="158"/>
      <c r="L10" s="59"/>
      <c r="M10" s="75"/>
      <c r="N10" s="59"/>
      <c r="O10" s="83"/>
      <c r="P10" s="61"/>
      <c r="Q10" s="61"/>
      <c r="R10" s="63"/>
      <c r="S10" s="63"/>
      <c r="T10" s="63"/>
      <c r="U10" s="63"/>
    </row>
    <row r="11" spans="1:23" ht="13">
      <c r="A11" s="120"/>
      <c r="B11" s="21"/>
      <c r="C11" s="23"/>
      <c r="D11" s="25"/>
      <c r="E11" s="122"/>
      <c r="F11" s="123"/>
      <c r="G11" s="39"/>
      <c r="H11" s="33"/>
      <c r="I11" s="35"/>
      <c r="J11" s="37"/>
      <c r="K11" s="39"/>
      <c r="L11" s="35"/>
      <c r="M11" s="162"/>
      <c r="N11" s="35"/>
      <c r="O11" s="42"/>
      <c r="P11" s="44"/>
      <c r="Q11" s="44"/>
      <c r="R11" s="174"/>
      <c r="S11" s="174"/>
      <c r="T11" s="174"/>
      <c r="U11" s="174"/>
      <c r="V11" s="130"/>
    </row>
    <row r="12" spans="1:23" ht="13">
      <c r="A12" s="618" t="s">
        <v>254</v>
      </c>
      <c r="B12" s="133">
        <v>625</v>
      </c>
      <c r="C12" s="135">
        <v>70</v>
      </c>
      <c r="D12" s="137">
        <v>4.5</v>
      </c>
      <c r="E12" s="164">
        <v>77</v>
      </c>
      <c r="F12" s="166">
        <v>142</v>
      </c>
      <c r="G12" s="143"/>
      <c r="H12" s="145"/>
      <c r="I12" s="146"/>
      <c r="J12" s="147"/>
      <c r="K12" s="143"/>
      <c r="L12" s="146"/>
      <c r="M12" s="149"/>
      <c r="N12" s="146"/>
      <c r="O12" s="150"/>
      <c r="P12" s="168"/>
      <c r="Q12" s="151"/>
      <c r="R12" s="619"/>
      <c r="S12" s="619"/>
      <c r="T12" s="619"/>
      <c r="U12" s="619"/>
      <c r="V12" s="130"/>
      <c r="W12" s="160"/>
    </row>
    <row r="13" spans="1:23" ht="13">
      <c r="A13" s="620"/>
      <c r="B13" s="50"/>
      <c r="C13" s="68"/>
      <c r="D13" s="52"/>
      <c r="E13" s="78"/>
      <c r="F13" s="51"/>
      <c r="G13" s="73"/>
      <c r="H13" s="57"/>
      <c r="I13" s="59"/>
      <c r="J13" s="71"/>
      <c r="K13" s="73"/>
      <c r="L13" s="59"/>
      <c r="M13" s="75"/>
      <c r="N13" s="59"/>
      <c r="O13" s="83"/>
      <c r="P13" s="61"/>
      <c r="Q13" s="61"/>
      <c r="R13" s="63"/>
      <c r="S13" s="63"/>
      <c r="T13" s="63"/>
      <c r="U13" s="63"/>
    </row>
    <row r="14" spans="1:23" ht="13">
      <c r="A14" s="172"/>
      <c r="B14" s="21"/>
      <c r="C14" s="23"/>
      <c r="D14" s="25"/>
      <c r="E14" s="122"/>
      <c r="F14" s="123"/>
      <c r="G14" s="39"/>
      <c r="H14" s="33"/>
      <c r="I14" s="35"/>
      <c r="J14" s="37"/>
      <c r="K14" s="39"/>
      <c r="L14" s="35"/>
      <c r="M14" s="162"/>
      <c r="N14" s="35"/>
      <c r="O14" s="42"/>
      <c r="P14" s="44"/>
      <c r="Q14" s="44"/>
      <c r="R14" s="174"/>
      <c r="S14" s="174"/>
      <c r="T14" s="174"/>
      <c r="U14" s="174"/>
      <c r="V14" s="130"/>
    </row>
    <row r="15" spans="1:23" ht="15.75" customHeight="1">
      <c r="A15" s="66"/>
      <c r="B15" s="50"/>
      <c r="C15" s="68"/>
      <c r="D15" s="177"/>
      <c r="E15" s="78"/>
      <c r="F15" s="51"/>
      <c r="G15" s="59"/>
      <c r="H15" s="57"/>
      <c r="I15" s="59"/>
      <c r="J15" s="71"/>
      <c r="K15" s="73"/>
      <c r="L15" s="59"/>
      <c r="M15" s="110"/>
      <c r="N15" s="59"/>
      <c r="O15" s="83"/>
      <c r="P15" s="61"/>
      <c r="Q15" s="61"/>
      <c r="R15" s="63"/>
      <c r="S15" s="63"/>
      <c r="T15" s="63"/>
      <c r="U15" s="63"/>
    </row>
    <row r="16" spans="1:23" ht="13">
      <c r="A16" s="58"/>
      <c r="B16" s="60"/>
      <c r="C16" s="62"/>
      <c r="D16" s="100"/>
      <c r="E16" s="65"/>
      <c r="F16" s="67"/>
      <c r="G16" s="74"/>
      <c r="H16" s="72"/>
      <c r="I16" s="74"/>
      <c r="J16" s="84"/>
      <c r="K16" s="70"/>
      <c r="L16" s="74"/>
      <c r="M16" s="112"/>
      <c r="N16" s="74"/>
      <c r="O16" s="88"/>
      <c r="P16" s="76"/>
      <c r="Q16" s="76"/>
      <c r="R16" s="121"/>
      <c r="S16" s="121"/>
      <c r="T16" s="121"/>
      <c r="U16" s="121"/>
    </row>
    <row r="17" spans="1:22" ht="13">
      <c r="A17" s="163"/>
      <c r="B17" s="60"/>
      <c r="C17" s="62"/>
      <c r="D17" s="173"/>
      <c r="E17" s="187"/>
      <c r="F17" s="188"/>
      <c r="G17" s="70"/>
      <c r="H17" s="72"/>
      <c r="I17" s="74"/>
      <c r="J17" s="84"/>
      <c r="K17" s="70"/>
      <c r="L17" s="74"/>
      <c r="M17" s="136"/>
      <c r="N17" s="74"/>
      <c r="O17" s="88"/>
      <c r="P17" s="184"/>
      <c r="Q17" s="184"/>
      <c r="R17" s="121"/>
      <c r="S17" s="121"/>
      <c r="T17" s="121"/>
      <c r="U17" s="121"/>
    </row>
    <row r="18" spans="1:22" ht="13">
      <c r="A18" s="120"/>
      <c r="B18" s="21"/>
      <c r="C18" s="23"/>
      <c r="D18" s="190"/>
      <c r="E18" s="191"/>
      <c r="F18" s="193"/>
      <c r="G18" s="39"/>
      <c r="H18" s="33"/>
      <c r="I18" s="35"/>
      <c r="J18" s="37"/>
      <c r="K18" s="39"/>
      <c r="L18" s="35"/>
      <c r="M18" s="162"/>
      <c r="N18" s="35"/>
      <c r="O18" s="42"/>
      <c r="P18" s="44"/>
      <c r="Q18" s="44"/>
      <c r="R18" s="174"/>
      <c r="S18" s="174"/>
      <c r="T18" s="174"/>
      <c r="U18" s="174"/>
      <c r="V18" s="130"/>
    </row>
    <row r="19" spans="1:22" ht="13">
      <c r="A19" s="620"/>
      <c r="B19" s="50"/>
      <c r="C19" s="68"/>
      <c r="D19" s="206"/>
      <c r="E19" s="194"/>
      <c r="F19" s="195"/>
      <c r="G19" s="73"/>
      <c r="H19" s="57"/>
      <c r="I19" s="59"/>
      <c r="J19" s="71"/>
      <c r="K19" s="73"/>
      <c r="L19" s="59"/>
      <c r="M19" s="75"/>
      <c r="N19" s="59"/>
      <c r="O19" s="83"/>
      <c r="P19" s="61"/>
      <c r="Q19" s="61"/>
      <c r="R19" s="63"/>
      <c r="S19" s="63"/>
      <c r="T19" s="189"/>
      <c r="U19" s="63"/>
    </row>
    <row r="20" spans="1:22" ht="13">
      <c r="A20" s="163"/>
      <c r="B20" s="60"/>
      <c r="C20" s="62"/>
      <c r="D20" s="64"/>
      <c r="E20" s="194"/>
      <c r="F20" s="195"/>
      <c r="G20" s="70"/>
      <c r="H20" s="72"/>
      <c r="I20" s="74"/>
      <c r="J20" s="84"/>
      <c r="K20" s="70"/>
      <c r="L20" s="74"/>
      <c r="M20" s="136"/>
      <c r="N20" s="74"/>
      <c r="O20" s="88"/>
      <c r="P20" s="76"/>
      <c r="Q20" s="76"/>
      <c r="R20" s="121"/>
      <c r="S20" s="121"/>
      <c r="T20" s="121"/>
      <c r="U20" s="121"/>
    </row>
    <row r="21" spans="1:22" ht="13">
      <c r="A21" s="172"/>
      <c r="B21" s="21"/>
      <c r="C21" s="23"/>
      <c r="D21" s="25"/>
      <c r="E21" s="221"/>
      <c r="F21" s="193"/>
      <c r="G21" s="39"/>
      <c r="H21" s="33"/>
      <c r="I21" s="222"/>
      <c r="J21" s="37"/>
      <c r="K21" s="39"/>
      <c r="L21" s="35"/>
      <c r="M21" s="162"/>
      <c r="N21" s="35"/>
      <c r="O21" s="42"/>
      <c r="P21" s="44"/>
      <c r="Q21" s="44"/>
      <c r="R21" s="174"/>
      <c r="S21" s="174"/>
      <c r="T21" s="174"/>
      <c r="U21" s="174"/>
      <c r="V21" s="130"/>
    </row>
    <row r="22" spans="1:22" ht="13">
      <c r="A22" s="620"/>
      <c r="B22" s="50"/>
      <c r="C22" s="68"/>
      <c r="D22" s="206"/>
      <c r="E22" s="194"/>
      <c r="F22" s="195"/>
      <c r="G22" s="73"/>
      <c r="H22" s="57"/>
      <c r="I22" s="59"/>
      <c r="J22" s="71"/>
      <c r="K22" s="73"/>
      <c r="L22" s="59"/>
      <c r="M22" s="75"/>
      <c r="N22" s="59"/>
      <c r="O22" s="83"/>
      <c r="P22" s="61"/>
      <c r="Q22" s="61"/>
      <c r="R22" s="63"/>
      <c r="S22" s="63"/>
      <c r="T22" s="63"/>
      <c r="U22" s="63"/>
    </row>
    <row r="23" spans="1:22" ht="13">
      <c r="A23" s="58"/>
      <c r="B23" s="60"/>
      <c r="C23" s="62"/>
      <c r="D23" s="192"/>
      <c r="E23" s="194"/>
      <c r="F23" s="232"/>
      <c r="G23" s="74"/>
      <c r="H23" s="72"/>
      <c r="I23" s="74"/>
      <c r="J23" s="84"/>
      <c r="K23" s="70"/>
      <c r="L23" s="74"/>
      <c r="M23" s="112"/>
      <c r="N23" s="74"/>
      <c r="O23" s="88"/>
      <c r="P23" s="76"/>
      <c r="Q23" s="76"/>
      <c r="R23" s="121"/>
      <c r="S23" s="121"/>
      <c r="T23" s="121"/>
      <c r="U23" s="121"/>
    </row>
    <row r="24" spans="1:22" ht="13">
      <c r="A24" s="163"/>
      <c r="B24" s="60"/>
      <c r="C24" s="62"/>
      <c r="D24" s="64"/>
      <c r="E24" s="194"/>
      <c r="F24" s="176"/>
      <c r="G24" s="70"/>
      <c r="H24" s="72"/>
      <c r="I24" s="74"/>
      <c r="J24" s="84"/>
      <c r="K24" s="70"/>
      <c r="L24" s="74"/>
      <c r="M24" s="136"/>
      <c r="N24" s="74"/>
      <c r="O24" s="88"/>
      <c r="P24" s="184"/>
      <c r="Q24" s="184"/>
      <c r="R24" s="121"/>
      <c r="S24" s="121"/>
      <c r="T24" s="121"/>
      <c r="U24" s="121"/>
    </row>
    <row r="25" spans="1:22" ht="13">
      <c r="A25" s="198"/>
      <c r="B25" s="60"/>
      <c r="C25" s="62"/>
      <c r="D25" s="64"/>
      <c r="E25" s="194"/>
      <c r="F25" s="176"/>
      <c r="G25" s="70"/>
      <c r="H25" s="72"/>
      <c r="I25" s="201"/>
      <c r="J25" s="84"/>
      <c r="K25" s="70"/>
      <c r="L25" s="74"/>
      <c r="M25" s="136"/>
      <c r="N25" s="74"/>
      <c r="O25" s="88"/>
      <c r="P25" s="76"/>
      <c r="Q25" s="76"/>
      <c r="R25" s="121"/>
      <c r="S25" s="121"/>
      <c r="T25" s="121"/>
      <c r="U25" s="121"/>
    </row>
    <row r="26" spans="1:22" ht="13">
      <c r="A26" s="58"/>
      <c r="B26" s="60"/>
      <c r="C26" s="62"/>
      <c r="D26" s="64"/>
      <c r="E26" s="194"/>
      <c r="F26" s="176"/>
      <c r="G26" s="70"/>
      <c r="H26" s="72"/>
      <c r="I26" s="201"/>
      <c r="J26" s="84"/>
      <c r="K26" s="134"/>
      <c r="L26" s="74"/>
      <c r="M26" s="136"/>
      <c r="N26" s="74"/>
      <c r="O26" s="88"/>
      <c r="P26" s="76"/>
      <c r="Q26" s="76"/>
      <c r="R26" s="121"/>
      <c r="S26" s="121"/>
      <c r="T26" s="121"/>
      <c r="U26" s="121"/>
    </row>
    <row r="27" spans="1:22" ht="13">
      <c r="A27" s="58"/>
      <c r="B27" s="60"/>
      <c r="C27" s="62"/>
      <c r="D27" s="64"/>
      <c r="E27" s="194"/>
      <c r="F27" s="195"/>
      <c r="G27" s="70"/>
      <c r="H27" s="72"/>
      <c r="I27" s="201"/>
      <c r="J27" s="84"/>
      <c r="K27" s="134"/>
      <c r="L27" s="74"/>
      <c r="M27" s="136"/>
      <c r="N27" s="74"/>
      <c r="O27" s="88"/>
      <c r="P27" s="76"/>
      <c r="R27" s="121"/>
      <c r="S27" s="121"/>
      <c r="T27" s="121"/>
      <c r="U27" s="121"/>
    </row>
    <row r="28" spans="1:22" ht="13">
      <c r="A28" s="172"/>
      <c r="B28" s="21"/>
      <c r="C28" s="23"/>
      <c r="D28" s="25"/>
      <c r="E28" s="221"/>
      <c r="F28" s="237"/>
      <c r="G28" s="39"/>
      <c r="H28" s="33"/>
      <c r="I28" s="35"/>
      <c r="J28" s="37"/>
      <c r="K28" s="238"/>
      <c r="L28" s="35"/>
      <c r="M28" s="162"/>
      <c r="N28" s="35"/>
      <c r="O28" s="42"/>
      <c r="P28" s="44"/>
      <c r="Q28" s="44"/>
      <c r="R28" s="174"/>
      <c r="S28" s="174"/>
      <c r="T28" s="174"/>
      <c r="U28" s="174"/>
      <c r="V28" s="130"/>
    </row>
    <row r="29" spans="1:22" ht="13">
      <c r="A29" s="620"/>
      <c r="B29" s="50"/>
      <c r="C29" s="68"/>
      <c r="D29" s="52"/>
      <c r="E29" s="194"/>
      <c r="F29" s="195"/>
      <c r="G29" s="73"/>
      <c r="H29" s="57"/>
      <c r="I29" s="59"/>
      <c r="J29" s="71"/>
      <c r="K29" s="73"/>
      <c r="L29" s="59"/>
      <c r="M29" s="75"/>
      <c r="N29" s="59"/>
      <c r="O29" s="83"/>
      <c r="P29" s="61"/>
      <c r="Q29" s="61"/>
      <c r="R29" s="63"/>
      <c r="S29" s="63"/>
      <c r="T29" s="63"/>
      <c r="U29" s="63"/>
    </row>
    <row r="30" spans="1:22" ht="13">
      <c r="A30" s="172"/>
      <c r="B30" s="21"/>
      <c r="C30" s="23"/>
      <c r="D30" s="25"/>
      <c r="E30" s="221"/>
      <c r="F30" s="237"/>
      <c r="G30" s="39"/>
      <c r="H30" s="33"/>
      <c r="I30" s="35"/>
      <c r="J30" s="37"/>
      <c r="K30" s="39"/>
      <c r="L30" s="35"/>
      <c r="M30" s="162"/>
      <c r="N30" s="35"/>
      <c r="O30" s="42"/>
      <c r="P30" s="44"/>
      <c r="Q30" s="44"/>
      <c r="R30" s="174"/>
      <c r="S30" s="174"/>
      <c r="T30" s="174"/>
      <c r="U30" s="174"/>
      <c r="V30" s="130"/>
    </row>
    <row r="31" spans="1:22" ht="13">
      <c r="A31" s="66"/>
      <c r="B31" s="50"/>
      <c r="C31" s="68"/>
      <c r="D31" s="52"/>
      <c r="E31" s="194"/>
      <c r="F31" s="195"/>
      <c r="G31" s="73"/>
      <c r="H31" s="57"/>
      <c r="I31" s="59"/>
      <c r="J31" s="71"/>
      <c r="K31" s="73"/>
      <c r="L31" s="59"/>
      <c r="M31" s="75"/>
      <c r="N31" s="59"/>
      <c r="O31" s="83"/>
      <c r="P31" s="61"/>
      <c r="Q31" s="61"/>
      <c r="R31" s="63"/>
      <c r="S31" s="63"/>
      <c r="T31" s="63"/>
      <c r="U31" s="63"/>
    </row>
    <row r="32" spans="1:22" ht="13">
      <c r="A32" s="163"/>
      <c r="B32" s="60"/>
      <c r="C32" s="62"/>
      <c r="D32" s="64"/>
      <c r="E32" s="194"/>
      <c r="F32" s="195"/>
      <c r="G32" s="70"/>
      <c r="H32" s="72"/>
      <c r="I32" s="74"/>
      <c r="J32" s="84"/>
      <c r="K32" s="70"/>
      <c r="L32" s="74"/>
      <c r="M32" s="136"/>
      <c r="N32" s="74"/>
      <c r="O32" s="88"/>
      <c r="P32" s="156"/>
      <c r="Q32" s="156"/>
      <c r="R32" s="121"/>
      <c r="S32" s="121"/>
      <c r="T32" s="121"/>
      <c r="U32" s="121"/>
    </row>
    <row r="33" spans="1:22" ht="13">
      <c r="A33" s="163"/>
      <c r="B33" s="60"/>
      <c r="C33" s="62"/>
      <c r="D33" s="64"/>
      <c r="E33" s="194"/>
      <c r="F33" s="195"/>
      <c r="G33" s="70"/>
      <c r="H33" s="72"/>
      <c r="I33" s="201"/>
      <c r="J33" s="84"/>
      <c r="K33" s="70"/>
      <c r="L33" s="74"/>
      <c r="M33" s="136"/>
      <c r="N33" s="74"/>
      <c r="O33" s="88"/>
      <c r="P33" s="156"/>
      <c r="Q33" s="76"/>
      <c r="R33" s="121"/>
      <c r="S33" s="121"/>
      <c r="T33" s="121"/>
      <c r="U33" s="121"/>
    </row>
    <row r="34" spans="1:22" ht="13">
      <c r="A34" s="58"/>
      <c r="B34" s="60"/>
      <c r="C34" s="62"/>
      <c r="D34" s="64"/>
      <c r="E34" s="194"/>
      <c r="F34" s="195"/>
      <c r="G34" s="70"/>
      <c r="H34" s="72"/>
      <c r="I34" s="74"/>
      <c r="J34" s="84"/>
      <c r="K34" s="134"/>
      <c r="L34" s="74"/>
      <c r="M34" s="136"/>
      <c r="N34" s="74"/>
      <c r="O34" s="88"/>
      <c r="P34" s="76"/>
      <c r="Q34" s="76"/>
      <c r="R34" s="121"/>
      <c r="S34" s="121"/>
      <c r="T34" s="121"/>
      <c r="U34" s="121"/>
    </row>
    <row r="35" spans="1:22" ht="13">
      <c r="A35" s="120"/>
      <c r="B35" s="21"/>
      <c r="C35" s="23"/>
      <c r="D35" s="25"/>
      <c r="E35" s="221"/>
      <c r="F35" s="237"/>
      <c r="G35" s="39"/>
      <c r="H35" s="240"/>
      <c r="I35" s="222"/>
      <c r="J35" s="37"/>
      <c r="K35" s="238"/>
      <c r="L35" s="35"/>
      <c r="M35" s="162"/>
      <c r="N35" s="35"/>
      <c r="O35" s="42"/>
      <c r="P35" s="44"/>
      <c r="Q35" s="44"/>
      <c r="R35" s="174"/>
      <c r="S35" s="174"/>
      <c r="T35" s="174"/>
      <c r="U35" s="174"/>
      <c r="V35" s="56"/>
    </row>
    <row r="36" spans="1:22" ht="15.75" customHeight="1">
      <c r="A36" s="620"/>
      <c r="B36" s="50"/>
      <c r="C36" s="68"/>
      <c r="D36" s="242"/>
      <c r="E36" s="194"/>
      <c r="F36" s="195"/>
      <c r="G36" s="59"/>
      <c r="H36" s="243"/>
      <c r="I36" s="59"/>
      <c r="J36" s="71"/>
      <c r="K36" s="73"/>
      <c r="L36" s="59"/>
      <c r="M36" s="110"/>
      <c r="N36" s="59"/>
      <c r="O36" s="83"/>
      <c r="P36" s="61"/>
      <c r="Q36" s="61"/>
      <c r="R36" s="63"/>
      <c r="S36" s="63"/>
      <c r="T36" s="189"/>
      <c r="U36" s="63"/>
    </row>
    <row r="37" spans="1:22" ht="13">
      <c r="A37" s="163"/>
      <c r="B37" s="60"/>
      <c r="C37" s="62"/>
      <c r="D37" s="64"/>
      <c r="E37" s="194"/>
      <c r="F37" s="195"/>
      <c r="G37" s="74"/>
      <c r="H37" s="72"/>
      <c r="I37" s="74"/>
      <c r="J37" s="84"/>
      <c r="K37" s="70"/>
      <c r="L37" s="74"/>
      <c r="M37" s="112"/>
      <c r="N37" s="74"/>
      <c r="O37" s="88"/>
      <c r="P37" s="76"/>
      <c r="Q37" s="76"/>
      <c r="R37" s="121"/>
      <c r="S37" s="121"/>
      <c r="T37" s="121"/>
      <c r="U37" s="121"/>
    </row>
    <row r="38" spans="1:22" ht="13">
      <c r="A38" s="58"/>
      <c r="B38" s="60"/>
      <c r="C38" s="62"/>
      <c r="D38" s="64"/>
      <c r="E38" s="194"/>
      <c r="F38" s="176"/>
      <c r="G38" s="74"/>
      <c r="H38" s="72"/>
      <c r="I38" s="74"/>
      <c r="J38" s="84"/>
      <c r="K38" s="70"/>
      <c r="L38" s="74"/>
      <c r="M38" s="112"/>
      <c r="N38" s="74"/>
      <c r="O38" s="88"/>
      <c r="P38" s="76"/>
      <c r="Q38" s="76"/>
      <c r="R38" s="121"/>
      <c r="S38" s="121"/>
      <c r="T38" s="121"/>
      <c r="U38" s="121"/>
    </row>
    <row r="39" spans="1:22" ht="13">
      <c r="A39" s="163"/>
      <c r="B39" s="60"/>
      <c r="C39" s="62"/>
      <c r="D39" s="64"/>
      <c r="E39" s="194"/>
      <c r="F39" s="176"/>
      <c r="G39" s="74"/>
      <c r="H39" s="72"/>
      <c r="I39" s="74"/>
      <c r="J39" s="84"/>
      <c r="K39" s="70"/>
      <c r="L39" s="74"/>
      <c r="M39" s="112"/>
      <c r="N39" s="74"/>
      <c r="O39" s="88"/>
      <c r="P39" s="76"/>
      <c r="Q39" s="76"/>
      <c r="R39" s="121"/>
      <c r="S39" s="121"/>
      <c r="T39" s="121"/>
      <c r="U39" s="121"/>
    </row>
    <row r="40" spans="1:22" ht="15.75" customHeight="1">
      <c r="A40" s="163"/>
      <c r="B40" s="60"/>
      <c r="C40" s="62"/>
      <c r="D40" s="64"/>
      <c r="E40" s="194"/>
      <c r="F40" s="200"/>
      <c r="G40" s="74"/>
      <c r="H40" s="72"/>
      <c r="I40" s="74"/>
      <c r="J40" s="84"/>
      <c r="K40" s="70"/>
      <c r="L40" s="74"/>
      <c r="M40" s="112"/>
      <c r="N40" s="74"/>
      <c r="O40" s="88"/>
      <c r="P40" s="156"/>
      <c r="Q40" s="156"/>
      <c r="R40" s="121"/>
      <c r="S40" s="121"/>
      <c r="T40" s="121"/>
      <c r="U40" s="121"/>
    </row>
    <row r="41" spans="1:22" ht="13">
      <c r="A41" s="58"/>
      <c r="B41" s="60"/>
      <c r="C41" s="62"/>
      <c r="D41" s="64"/>
      <c r="E41" s="194"/>
      <c r="F41" s="176"/>
      <c r="G41" s="74"/>
      <c r="H41" s="72"/>
      <c r="I41" s="239"/>
      <c r="J41" s="84"/>
      <c r="K41" s="70"/>
      <c r="L41" s="74"/>
      <c r="M41" s="112"/>
      <c r="N41" s="74"/>
      <c r="O41" s="88"/>
      <c r="P41" s="76"/>
      <c r="Q41" s="76"/>
      <c r="R41" s="113"/>
      <c r="S41" s="121"/>
      <c r="T41" s="121"/>
      <c r="U41" s="121"/>
    </row>
    <row r="42" spans="1:22" ht="13">
      <c r="A42" s="163"/>
      <c r="B42" s="60"/>
      <c r="C42" s="62"/>
      <c r="D42" s="64"/>
      <c r="E42" s="194"/>
      <c r="F42" s="195"/>
      <c r="G42" s="74"/>
      <c r="H42" s="72"/>
      <c r="I42" s="74"/>
      <c r="J42" s="84"/>
      <c r="K42" s="70"/>
      <c r="L42" s="74"/>
      <c r="M42" s="112"/>
      <c r="N42" s="74"/>
      <c r="O42" s="88"/>
      <c r="P42" s="76"/>
      <c r="Q42" s="76"/>
      <c r="R42" s="121"/>
      <c r="S42" s="121"/>
      <c r="T42" s="113"/>
      <c r="U42" s="121"/>
    </row>
    <row r="43" spans="1:22" ht="13">
      <c r="A43" s="163"/>
      <c r="B43" s="60"/>
      <c r="C43" s="62"/>
      <c r="D43" s="64"/>
      <c r="E43" s="194"/>
      <c r="F43" s="195"/>
      <c r="G43" s="74"/>
      <c r="H43" s="72"/>
      <c r="I43" s="74"/>
      <c r="J43" s="84"/>
      <c r="K43" s="70"/>
      <c r="L43" s="74"/>
      <c r="M43" s="112"/>
      <c r="N43" s="74"/>
      <c r="O43" s="88"/>
      <c r="P43" s="76"/>
      <c r="Q43" s="76"/>
      <c r="R43" s="121"/>
      <c r="S43" s="121"/>
      <c r="T43" s="113"/>
      <c r="U43" s="121"/>
    </row>
    <row r="44" spans="1:22" ht="13">
      <c r="A44" s="120"/>
      <c r="B44" s="21"/>
      <c r="C44" s="23"/>
      <c r="D44" s="25"/>
      <c r="E44" s="221"/>
      <c r="F44" s="237"/>
      <c r="G44" s="35"/>
      <c r="H44" s="33"/>
      <c r="I44" s="35"/>
      <c r="J44" s="37"/>
      <c r="K44" s="39"/>
      <c r="L44" s="35"/>
      <c r="M44" s="124"/>
      <c r="N44" s="35"/>
      <c r="O44" s="42"/>
      <c r="P44" s="264"/>
      <c r="Q44" s="264"/>
      <c r="R44" s="174"/>
      <c r="S44" s="174"/>
      <c r="T44" s="97"/>
      <c r="U44" s="174"/>
      <c r="V44" s="130"/>
    </row>
    <row r="45" spans="1:22" ht="13">
      <c r="A45" s="620"/>
      <c r="B45" s="50"/>
      <c r="C45" s="68"/>
      <c r="D45" s="265"/>
      <c r="E45" s="194"/>
      <c r="F45" s="195"/>
      <c r="G45" s="59"/>
      <c r="H45" s="57"/>
      <c r="I45" s="59"/>
      <c r="J45" s="71"/>
      <c r="K45" s="73"/>
      <c r="L45" s="59"/>
      <c r="M45" s="110"/>
      <c r="N45" s="59"/>
      <c r="O45" s="83"/>
      <c r="P45" s="61"/>
      <c r="Q45" s="61"/>
      <c r="R45" s="63"/>
      <c r="S45" s="63"/>
      <c r="T45" s="189"/>
      <c r="U45" s="63"/>
    </row>
    <row r="46" spans="1:22" ht="13">
      <c r="A46" s="163"/>
      <c r="B46" s="60"/>
      <c r="C46" s="62"/>
      <c r="D46" s="64"/>
      <c r="E46" s="194"/>
      <c r="F46" s="176"/>
      <c r="G46" s="74"/>
      <c r="H46" s="244"/>
      <c r="I46" s="74"/>
      <c r="J46" s="84"/>
      <c r="K46" s="70"/>
      <c r="L46" s="74"/>
      <c r="M46" s="112"/>
      <c r="N46" s="74"/>
      <c r="O46" s="88"/>
      <c r="P46" s="76"/>
      <c r="Q46" s="76"/>
      <c r="R46" s="121"/>
      <c r="S46" s="121"/>
      <c r="T46" s="113"/>
      <c r="U46" s="121"/>
    </row>
    <row r="47" spans="1:22" ht="13">
      <c r="A47" s="172"/>
      <c r="B47" s="21"/>
      <c r="C47" s="23"/>
      <c r="D47" s="25"/>
      <c r="E47" s="221"/>
      <c r="F47" s="193"/>
      <c r="G47" s="35"/>
      <c r="H47" s="33"/>
      <c r="I47" s="266"/>
      <c r="J47" s="37"/>
      <c r="K47" s="39"/>
      <c r="L47" s="35"/>
      <c r="M47" s="124"/>
      <c r="N47" s="35"/>
      <c r="O47" s="42"/>
      <c r="P47" s="44"/>
      <c r="Q47" s="44"/>
      <c r="R47" s="174"/>
      <c r="S47" s="174"/>
      <c r="T47" s="97"/>
      <c r="U47" s="174"/>
      <c r="V47" s="56"/>
    </row>
    <row r="48" spans="1:22" ht="13">
      <c r="A48" s="66"/>
      <c r="B48" s="50"/>
      <c r="C48" s="68"/>
      <c r="D48" s="52"/>
      <c r="E48" s="194"/>
      <c r="F48" s="176"/>
      <c r="G48" s="59"/>
      <c r="H48" s="57"/>
      <c r="I48" s="59"/>
      <c r="J48" s="71"/>
      <c r="K48" s="73"/>
      <c r="L48" s="59"/>
      <c r="M48" s="110"/>
      <c r="N48" s="59"/>
      <c r="O48" s="83"/>
      <c r="P48" s="267"/>
      <c r="Q48" s="267"/>
      <c r="R48" s="63"/>
      <c r="S48" s="63"/>
      <c r="T48" s="189"/>
      <c r="U48" s="63"/>
    </row>
    <row r="49" spans="1:22" ht="13">
      <c r="A49" s="120"/>
      <c r="B49" s="21"/>
      <c r="C49" s="23"/>
      <c r="D49" s="25"/>
      <c r="E49" s="221"/>
      <c r="F49" s="237"/>
      <c r="G49" s="35"/>
      <c r="H49" s="33"/>
      <c r="I49" s="268"/>
      <c r="J49" s="37"/>
      <c r="K49" s="39"/>
      <c r="L49" s="35"/>
      <c r="M49" s="124"/>
      <c r="N49" s="35"/>
      <c r="O49" s="42"/>
      <c r="P49" s="44"/>
      <c r="Q49" s="44"/>
      <c r="R49" s="174"/>
      <c r="S49" s="174"/>
      <c r="T49" s="97"/>
      <c r="U49" s="174"/>
      <c r="V49" s="56"/>
    </row>
    <row r="50" spans="1:22" ht="13">
      <c r="A50" s="620"/>
      <c r="B50" s="50"/>
      <c r="C50" s="68"/>
      <c r="D50" s="265"/>
      <c r="E50" s="194"/>
      <c r="F50" s="195"/>
      <c r="G50" s="59"/>
      <c r="H50" s="57"/>
      <c r="I50" s="59"/>
      <c r="J50" s="71"/>
      <c r="K50" s="73"/>
      <c r="L50" s="59"/>
      <c r="M50" s="110"/>
      <c r="N50" s="59"/>
      <c r="O50" s="83"/>
      <c r="P50" s="61"/>
      <c r="Q50" s="61"/>
      <c r="R50" s="63"/>
      <c r="S50" s="63"/>
      <c r="T50" s="189"/>
      <c r="U50" s="63"/>
    </row>
    <row r="51" spans="1:22" ht="13">
      <c r="A51" s="58"/>
      <c r="B51" s="60"/>
      <c r="C51" s="62"/>
      <c r="D51" s="64"/>
      <c r="E51" s="194"/>
      <c r="F51" s="195"/>
      <c r="G51" s="74"/>
      <c r="H51" s="72"/>
      <c r="I51" s="74"/>
      <c r="J51" s="84"/>
      <c r="K51" s="70"/>
      <c r="L51" s="74"/>
      <c r="M51" s="112"/>
      <c r="N51" s="74"/>
      <c r="O51" s="88"/>
      <c r="P51" s="76"/>
      <c r="Q51" s="76"/>
      <c r="R51" s="121"/>
      <c r="S51" s="121"/>
      <c r="T51" s="113"/>
      <c r="U51" s="121"/>
    </row>
    <row r="52" spans="1:22" ht="13">
      <c r="A52" s="58"/>
      <c r="B52" s="60"/>
      <c r="C52" s="62"/>
      <c r="D52" s="64"/>
      <c r="E52" s="194"/>
      <c r="F52" s="232"/>
      <c r="G52" s="74"/>
      <c r="H52" s="72"/>
      <c r="I52" s="74"/>
      <c r="J52" s="84"/>
      <c r="K52" s="70"/>
      <c r="L52" s="74"/>
      <c r="M52" s="112"/>
      <c r="N52" s="74"/>
      <c r="O52" s="88"/>
      <c r="P52" s="76"/>
      <c r="Q52" s="76"/>
      <c r="R52" s="121"/>
      <c r="S52" s="121"/>
      <c r="T52" s="121"/>
      <c r="U52" s="121"/>
    </row>
    <row r="53" spans="1:22" ht="13">
      <c r="A53" s="58"/>
      <c r="B53" s="60"/>
      <c r="C53" s="62"/>
      <c r="D53" s="64"/>
      <c r="E53" s="194"/>
      <c r="F53" s="195"/>
      <c r="G53" s="74"/>
      <c r="H53" s="72"/>
      <c r="I53" s="74"/>
      <c r="J53" s="84"/>
      <c r="K53" s="70"/>
      <c r="L53" s="74"/>
      <c r="M53" s="112"/>
      <c r="N53" s="74"/>
      <c r="O53" s="88"/>
      <c r="P53" s="76"/>
      <c r="Q53" s="76"/>
      <c r="R53" s="121"/>
      <c r="S53" s="121"/>
      <c r="T53" s="113"/>
      <c r="U53" s="121"/>
    </row>
    <row r="54" spans="1:22" ht="13">
      <c r="A54" s="163"/>
      <c r="B54" s="60"/>
      <c r="C54" s="62"/>
      <c r="D54" s="64"/>
      <c r="E54" s="194"/>
      <c r="F54" s="195"/>
      <c r="G54" s="74"/>
      <c r="H54" s="72"/>
      <c r="I54" s="74"/>
      <c r="J54" s="84"/>
      <c r="K54" s="70"/>
      <c r="L54" s="74"/>
      <c r="M54" s="112"/>
      <c r="N54" s="74"/>
      <c r="O54" s="88"/>
      <c r="P54" s="156"/>
      <c r="Q54" s="156"/>
      <c r="R54" s="121"/>
      <c r="S54" s="121"/>
      <c r="T54" s="121"/>
      <c r="U54" s="121"/>
    </row>
    <row r="55" spans="1:22" ht="13">
      <c r="A55" s="163"/>
      <c r="B55" s="60"/>
      <c r="C55" s="62"/>
      <c r="D55" s="64"/>
      <c r="E55" s="194"/>
      <c r="F55" s="195"/>
      <c r="G55" s="74"/>
      <c r="H55" s="72"/>
      <c r="I55" s="74"/>
      <c r="J55" s="84"/>
      <c r="K55" s="70"/>
      <c r="L55" s="74"/>
      <c r="M55" s="112"/>
      <c r="N55" s="74"/>
      <c r="O55" s="88"/>
      <c r="P55" s="76"/>
      <c r="Q55" s="76"/>
      <c r="R55" s="121"/>
      <c r="S55" s="121"/>
      <c r="T55" s="121"/>
      <c r="U55" s="121"/>
    </row>
    <row r="56" spans="1:22" ht="13">
      <c r="A56" s="172"/>
      <c r="B56" s="21"/>
      <c r="C56" s="23"/>
      <c r="D56" s="25"/>
      <c r="E56" s="221"/>
      <c r="F56" s="237"/>
      <c r="G56" s="35"/>
      <c r="H56" s="33"/>
      <c r="I56" s="270"/>
      <c r="J56" s="37"/>
      <c r="K56" s="39"/>
      <c r="L56" s="35"/>
      <c r="M56" s="124"/>
      <c r="N56" s="35"/>
      <c r="O56" s="42"/>
      <c r="P56" s="271"/>
      <c r="Q56" s="271"/>
      <c r="R56" s="174"/>
      <c r="S56" s="174"/>
      <c r="T56" s="174"/>
      <c r="U56" s="174"/>
      <c r="V56" s="130"/>
    </row>
    <row r="57" spans="1:22" ht="13">
      <c r="A57" s="618"/>
      <c r="B57" s="133"/>
      <c r="C57" s="135"/>
      <c r="D57" s="137"/>
      <c r="E57" s="221"/>
      <c r="F57" s="237"/>
      <c r="G57" s="146"/>
      <c r="H57" s="145"/>
      <c r="I57" s="146"/>
      <c r="J57" s="147"/>
      <c r="K57" s="143"/>
      <c r="L57" s="146"/>
      <c r="M57" s="272"/>
      <c r="N57" s="146"/>
      <c r="O57" s="150"/>
      <c r="P57" s="151"/>
      <c r="Q57" s="151"/>
      <c r="R57" s="619"/>
      <c r="S57" s="619"/>
      <c r="T57" s="273"/>
      <c r="U57" s="619"/>
      <c r="V57" s="130"/>
    </row>
    <row r="58" spans="1:22" ht="13">
      <c r="A58" s="618"/>
      <c r="B58" s="133"/>
      <c r="C58" s="135"/>
      <c r="D58" s="137"/>
      <c r="E58" s="221"/>
      <c r="F58" s="237"/>
      <c r="G58" s="146"/>
      <c r="H58" s="145"/>
      <c r="I58" s="274"/>
      <c r="J58" s="147"/>
      <c r="K58" s="143"/>
      <c r="L58" s="146"/>
      <c r="M58" s="272"/>
      <c r="N58" s="146"/>
      <c r="O58" s="275"/>
      <c r="P58" s="151"/>
      <c r="Q58" s="151"/>
      <c r="R58" s="619"/>
      <c r="S58" s="619"/>
      <c r="T58" s="273"/>
      <c r="U58" s="619"/>
      <c r="V58" s="130"/>
    </row>
    <row r="59" spans="1:22" ht="13">
      <c r="A59" s="66"/>
      <c r="B59" s="50"/>
      <c r="C59" s="68"/>
      <c r="D59" s="52"/>
      <c r="E59" s="194"/>
      <c r="F59" s="232"/>
      <c r="G59" s="59"/>
      <c r="H59" s="57"/>
      <c r="I59" s="276"/>
      <c r="J59" s="71"/>
      <c r="K59" s="73"/>
      <c r="L59" s="59"/>
      <c r="M59" s="110"/>
      <c r="N59" s="59"/>
      <c r="O59" s="83"/>
      <c r="P59" s="277"/>
      <c r="Q59" s="277"/>
      <c r="R59" s="63"/>
      <c r="S59" s="63"/>
      <c r="T59" s="189"/>
      <c r="U59" s="63"/>
    </row>
    <row r="60" spans="1:22" ht="13">
      <c r="A60" s="58"/>
      <c r="B60" s="60"/>
      <c r="C60" s="62"/>
      <c r="D60" s="64"/>
      <c r="E60" s="194"/>
      <c r="F60" s="195"/>
      <c r="G60" s="74"/>
      <c r="H60" s="72"/>
      <c r="I60" s="239"/>
      <c r="J60" s="84"/>
      <c r="K60" s="134"/>
      <c r="L60" s="74"/>
      <c r="M60" s="115"/>
      <c r="N60" s="74"/>
      <c r="O60" s="88"/>
      <c r="P60" s="76"/>
      <c r="Q60" s="76"/>
      <c r="R60" s="121"/>
      <c r="S60" s="121"/>
      <c r="T60" s="113"/>
      <c r="U60" s="121"/>
    </row>
    <row r="61" spans="1:22" ht="13">
      <c r="A61" s="58"/>
      <c r="B61" s="60"/>
      <c r="C61" s="62"/>
      <c r="D61" s="64"/>
      <c r="E61" s="194"/>
      <c r="F61" s="195"/>
      <c r="G61" s="74"/>
      <c r="H61" s="72"/>
      <c r="I61" s="201"/>
      <c r="J61" s="84"/>
      <c r="K61" s="134"/>
      <c r="L61" s="74"/>
      <c r="M61" s="115"/>
      <c r="N61" s="74"/>
      <c r="O61" s="88"/>
      <c r="P61" s="76"/>
      <c r="Q61" s="76"/>
      <c r="R61" s="121"/>
      <c r="S61" s="121"/>
      <c r="T61" s="113"/>
      <c r="U61" s="121"/>
    </row>
    <row r="62" spans="1:22" ht="13">
      <c r="A62" s="172"/>
      <c r="B62" s="21"/>
      <c r="C62" s="23"/>
      <c r="D62" s="25"/>
      <c r="E62" s="221"/>
      <c r="F62" s="237"/>
      <c r="G62" s="35"/>
      <c r="H62" s="33"/>
      <c r="I62" s="35"/>
      <c r="J62" s="37"/>
      <c r="K62" s="238"/>
      <c r="L62" s="35"/>
      <c r="M62" s="280"/>
      <c r="N62" s="35"/>
      <c r="O62" s="42"/>
      <c r="P62" s="44"/>
      <c r="Q62" s="44"/>
      <c r="R62" s="174"/>
      <c r="S62" s="174"/>
      <c r="T62" s="174"/>
      <c r="U62" s="174"/>
      <c r="V62" s="130"/>
    </row>
    <row r="63" spans="1:22" ht="13">
      <c r="A63" s="620"/>
      <c r="B63" s="50"/>
      <c r="C63" s="68"/>
      <c r="D63" s="52"/>
      <c r="E63" s="194"/>
      <c r="F63" s="195"/>
      <c r="G63" s="59"/>
      <c r="H63" s="57"/>
      <c r="I63" s="59"/>
      <c r="J63" s="71"/>
      <c r="K63" s="73"/>
      <c r="L63" s="59"/>
      <c r="M63" s="110"/>
      <c r="N63" s="59"/>
      <c r="O63" s="83"/>
      <c r="P63" s="61"/>
      <c r="Q63" s="61"/>
      <c r="R63" s="63"/>
      <c r="S63" s="63"/>
      <c r="T63" s="189"/>
      <c r="U63" s="63"/>
    </row>
    <row r="64" spans="1:22" ht="13">
      <c r="A64" s="58"/>
      <c r="B64" s="60"/>
      <c r="C64" s="62"/>
      <c r="D64" s="64"/>
      <c r="E64" s="194"/>
      <c r="F64" s="195"/>
      <c r="G64" s="74"/>
      <c r="H64" s="269"/>
      <c r="I64" s="74"/>
      <c r="J64" s="84"/>
      <c r="K64" s="70"/>
      <c r="L64" s="74"/>
      <c r="M64" s="112"/>
      <c r="N64" s="74"/>
      <c r="O64" s="88"/>
      <c r="P64" s="76"/>
      <c r="Q64" s="76"/>
      <c r="R64" s="121"/>
      <c r="S64" s="121"/>
      <c r="T64" s="121"/>
      <c r="U64" s="121"/>
    </row>
    <row r="65" spans="1:22" ht="13">
      <c r="A65" s="58"/>
      <c r="B65" s="60"/>
      <c r="C65" s="62"/>
      <c r="D65" s="64"/>
      <c r="E65" s="194"/>
      <c r="F65" s="195"/>
      <c r="G65" s="74"/>
      <c r="H65" s="72"/>
      <c r="I65" s="74"/>
      <c r="J65" s="84"/>
      <c r="K65" s="70"/>
      <c r="L65" s="74"/>
      <c r="M65" s="112"/>
      <c r="N65" s="74"/>
      <c r="O65" s="88"/>
      <c r="P65" s="156"/>
      <c r="Q65" s="76"/>
      <c r="R65" s="121"/>
      <c r="S65" s="121"/>
      <c r="T65" s="113"/>
      <c r="U65" s="121"/>
    </row>
    <row r="66" spans="1:22" ht="13">
      <c r="A66" s="163"/>
      <c r="B66" s="60"/>
      <c r="C66" s="62"/>
      <c r="D66" s="64"/>
      <c r="E66" s="194"/>
      <c r="F66" s="195"/>
      <c r="G66" s="74"/>
      <c r="H66" s="72"/>
      <c r="I66" s="74"/>
      <c r="J66" s="84"/>
      <c r="K66" s="70"/>
      <c r="L66" s="74"/>
      <c r="M66" s="112"/>
      <c r="N66" s="74"/>
      <c r="O66" s="88"/>
      <c r="P66" s="156"/>
      <c r="Q66" s="156"/>
      <c r="R66" s="121"/>
      <c r="S66" s="121"/>
      <c r="T66" s="113"/>
      <c r="U66" s="121"/>
    </row>
    <row r="67" spans="1:22" ht="13">
      <c r="A67" s="163"/>
      <c r="B67" s="60"/>
      <c r="C67" s="62"/>
      <c r="D67" s="64"/>
      <c r="E67" s="194"/>
      <c r="F67" s="195"/>
      <c r="G67" s="74"/>
      <c r="H67" s="72"/>
      <c r="I67" s="74"/>
      <c r="J67" s="84"/>
      <c r="K67" s="134"/>
      <c r="L67" s="74"/>
      <c r="M67" s="112"/>
      <c r="N67" s="74"/>
      <c r="O67" s="88"/>
      <c r="P67" s="76"/>
      <c r="Q67" s="76"/>
      <c r="R67" s="121"/>
      <c r="S67" s="121"/>
      <c r="T67" s="113"/>
      <c r="U67" s="121"/>
    </row>
    <row r="68" spans="1:22" ht="13">
      <c r="A68" s="58"/>
      <c r="B68" s="60"/>
      <c r="C68" s="62"/>
      <c r="D68" s="64"/>
      <c r="E68" s="194"/>
      <c r="F68" s="195"/>
      <c r="G68" s="74"/>
      <c r="H68" s="72"/>
      <c r="I68" s="74"/>
      <c r="J68" s="84"/>
      <c r="K68" s="70"/>
      <c r="L68" s="74"/>
      <c r="M68" s="112"/>
      <c r="N68" s="74"/>
      <c r="O68" s="292"/>
      <c r="P68" s="76"/>
      <c r="Q68" s="76"/>
      <c r="R68" s="121"/>
      <c r="S68" s="121"/>
      <c r="T68" s="113"/>
      <c r="U68" s="121"/>
    </row>
    <row r="69" spans="1:22" ht="13">
      <c r="A69" s="58"/>
      <c r="B69" s="60"/>
      <c r="C69" s="62"/>
      <c r="D69" s="64"/>
      <c r="E69" s="194"/>
      <c r="F69" s="195"/>
      <c r="G69" s="74"/>
      <c r="H69" s="72"/>
      <c r="I69" s="74"/>
      <c r="J69" s="84"/>
      <c r="K69" s="70"/>
      <c r="L69" s="74"/>
      <c r="M69" s="112"/>
      <c r="N69" s="74"/>
      <c r="O69" s="88"/>
      <c r="P69" s="76"/>
      <c r="Q69" s="76"/>
      <c r="R69" s="121"/>
      <c r="S69" s="121"/>
      <c r="T69" s="113"/>
      <c r="U69" s="121"/>
    </row>
    <row r="70" spans="1:22" ht="13">
      <c r="A70" s="172"/>
      <c r="B70" s="21"/>
      <c r="C70" s="23"/>
      <c r="D70" s="25"/>
      <c r="E70" s="221"/>
      <c r="F70" s="237"/>
      <c r="G70" s="35"/>
      <c r="H70" s="33"/>
      <c r="I70" s="35"/>
      <c r="J70" s="37"/>
      <c r="K70" s="39"/>
      <c r="L70" s="35"/>
      <c r="M70" s="124"/>
      <c r="N70" s="35"/>
      <c r="O70" s="42"/>
      <c r="P70" s="44"/>
      <c r="Q70" s="44"/>
      <c r="R70" s="174"/>
      <c r="S70" s="174"/>
      <c r="T70" s="97"/>
      <c r="U70" s="174"/>
      <c r="V70" s="130"/>
    </row>
    <row r="71" spans="1:22" ht="13">
      <c r="A71" s="618"/>
      <c r="B71" s="133"/>
      <c r="C71" s="135"/>
      <c r="D71" s="137"/>
      <c r="E71" s="221"/>
      <c r="F71" s="237"/>
      <c r="G71" s="146"/>
      <c r="H71" s="145"/>
      <c r="I71" s="293"/>
      <c r="J71" s="147"/>
      <c r="K71" s="294"/>
      <c r="L71" s="146"/>
      <c r="M71" s="272"/>
      <c r="N71" s="146"/>
      <c r="O71" s="150"/>
      <c r="P71" s="151"/>
      <c r="Q71" s="151"/>
      <c r="R71" s="619"/>
      <c r="S71" s="619"/>
      <c r="T71" s="619"/>
      <c r="U71" s="619"/>
      <c r="V71" s="130"/>
    </row>
    <row r="72" spans="1:22" ht="13">
      <c r="A72" s="620"/>
      <c r="B72" s="50"/>
      <c r="C72" s="68"/>
      <c r="D72" s="52"/>
      <c r="E72" s="194"/>
      <c r="F72" s="195"/>
      <c r="G72" s="59"/>
      <c r="H72" s="57"/>
      <c r="I72" s="295"/>
      <c r="J72" s="71"/>
      <c r="K72" s="158"/>
      <c r="L72" s="59"/>
      <c r="M72" s="110"/>
      <c r="N72" s="59"/>
      <c r="O72" s="83"/>
      <c r="P72" s="61"/>
      <c r="Q72" s="61"/>
      <c r="R72" s="63"/>
      <c r="S72" s="63"/>
      <c r="T72" s="189"/>
      <c r="U72" s="63"/>
    </row>
    <row r="73" spans="1:22" ht="13">
      <c r="A73" s="163"/>
      <c r="B73" s="60"/>
      <c r="C73" s="62"/>
      <c r="D73" s="64"/>
      <c r="E73" s="194"/>
      <c r="F73" s="176"/>
      <c r="G73" s="74"/>
      <c r="H73" s="72"/>
      <c r="I73" s="263"/>
      <c r="J73" s="84"/>
      <c r="K73" s="70"/>
      <c r="L73" s="74"/>
      <c r="M73" s="112"/>
      <c r="N73" s="74"/>
      <c r="O73" s="88"/>
      <c r="P73" s="184"/>
      <c r="Q73" s="184"/>
      <c r="R73" s="121"/>
      <c r="S73" s="121"/>
      <c r="T73" s="121"/>
      <c r="U73" s="121"/>
    </row>
    <row r="74" spans="1:22" ht="13">
      <c r="A74" s="120"/>
      <c r="B74" s="21"/>
      <c r="C74" s="23"/>
      <c r="D74" s="25"/>
      <c r="E74" s="221"/>
      <c r="F74" s="193"/>
      <c r="G74" s="35"/>
      <c r="H74" s="33"/>
      <c r="I74" s="266"/>
      <c r="J74" s="37"/>
      <c r="K74" s="238"/>
      <c r="L74" s="35"/>
      <c r="M74" s="280"/>
      <c r="N74" s="35"/>
      <c r="O74" s="42"/>
      <c r="P74" s="44"/>
      <c r="Q74" s="44"/>
      <c r="R74" s="174"/>
      <c r="S74" s="174"/>
      <c r="T74" s="97"/>
      <c r="U74" s="174"/>
      <c r="V74" s="130"/>
    </row>
    <row r="75" spans="1:22" ht="15.75" customHeight="1">
      <c r="A75" s="296"/>
      <c r="B75" s="133"/>
      <c r="C75" s="135"/>
      <c r="D75" s="137"/>
      <c r="E75" s="221"/>
      <c r="F75" s="297"/>
      <c r="G75" s="146"/>
      <c r="H75" s="298"/>
      <c r="I75" s="146"/>
      <c r="J75" s="147"/>
      <c r="K75" s="143"/>
      <c r="L75" s="146"/>
      <c r="M75" s="272"/>
      <c r="N75" s="146"/>
      <c r="O75" s="150"/>
      <c r="P75" s="151"/>
      <c r="Q75" s="151"/>
      <c r="R75" s="619"/>
      <c r="S75" s="619"/>
      <c r="T75" s="619"/>
      <c r="U75" s="619"/>
      <c r="V75" s="56"/>
    </row>
    <row r="76" spans="1:22" ht="13">
      <c r="A76" s="618"/>
      <c r="B76" s="133"/>
      <c r="C76" s="135"/>
      <c r="D76" s="137"/>
      <c r="E76" s="221"/>
      <c r="F76" s="237"/>
      <c r="G76" s="146"/>
      <c r="H76" s="145"/>
      <c r="I76" s="293"/>
      <c r="J76" s="147"/>
      <c r="K76" s="143"/>
      <c r="L76" s="146"/>
      <c r="M76" s="272"/>
      <c r="N76" s="146"/>
      <c r="O76" s="150"/>
      <c r="P76" s="151"/>
      <c r="Q76" s="151"/>
      <c r="R76" s="619"/>
      <c r="S76" s="619"/>
      <c r="T76" s="273"/>
      <c r="U76" s="619"/>
      <c r="V76" s="130"/>
    </row>
    <row r="77" spans="1:22" ht="13">
      <c r="A77" s="620"/>
      <c r="B77" s="50"/>
      <c r="C77" s="68"/>
      <c r="D77" s="52"/>
      <c r="E77" s="194"/>
      <c r="F77" s="195"/>
      <c r="G77" s="59"/>
      <c r="H77" s="243"/>
      <c r="I77" s="295"/>
      <c r="J77" s="71"/>
      <c r="K77" s="73"/>
      <c r="L77" s="59"/>
      <c r="M77" s="110"/>
      <c r="N77" s="59"/>
      <c r="O77" s="83"/>
      <c r="P77" s="61"/>
      <c r="Q77" s="61"/>
      <c r="R77" s="63"/>
      <c r="S77" s="63"/>
      <c r="T77" s="63"/>
      <c r="U77" s="63"/>
    </row>
    <row r="78" spans="1:22" ht="13">
      <c r="A78" s="58"/>
      <c r="B78" s="60"/>
      <c r="C78" s="62"/>
      <c r="D78" s="64"/>
      <c r="E78" s="194"/>
      <c r="F78" s="232"/>
      <c r="G78" s="74"/>
      <c r="H78" s="236"/>
      <c r="I78" s="74"/>
      <c r="J78" s="84"/>
      <c r="K78" s="70"/>
      <c r="L78" s="74"/>
      <c r="M78" s="112"/>
      <c r="N78" s="74"/>
      <c r="O78" s="88"/>
      <c r="P78" s="184"/>
      <c r="Q78" s="184"/>
      <c r="R78" s="121"/>
      <c r="S78" s="121"/>
      <c r="T78" s="113"/>
      <c r="U78" s="121"/>
    </row>
    <row r="79" spans="1:22" ht="13">
      <c r="A79" s="172"/>
      <c r="B79" s="21"/>
      <c r="C79" s="23"/>
      <c r="D79" s="25"/>
      <c r="E79" s="221"/>
      <c r="F79" s="237"/>
      <c r="G79" s="35"/>
      <c r="H79" s="33"/>
      <c r="I79" s="35"/>
      <c r="J79" s="37"/>
      <c r="K79" s="238"/>
      <c r="L79" s="35"/>
      <c r="M79" s="124"/>
      <c r="N79" s="35"/>
      <c r="O79" s="42"/>
      <c r="P79" s="44"/>
      <c r="Q79" s="44"/>
      <c r="R79" s="174"/>
      <c r="S79" s="174"/>
      <c r="T79" s="97"/>
      <c r="U79" s="174"/>
      <c r="V79" s="130"/>
    </row>
    <row r="80" spans="1:22" ht="13">
      <c r="A80" s="296"/>
      <c r="B80" s="133"/>
      <c r="C80" s="135"/>
      <c r="D80" s="137"/>
      <c r="E80" s="221"/>
      <c r="F80" s="237"/>
      <c r="G80" s="146"/>
      <c r="H80" s="299"/>
      <c r="I80" s="146"/>
      <c r="J80" s="147"/>
      <c r="K80" s="294"/>
      <c r="L80" s="146"/>
      <c r="M80" s="300"/>
      <c r="N80" s="146"/>
      <c r="O80" s="150"/>
      <c r="P80" s="151"/>
      <c r="Q80" s="151"/>
      <c r="R80" s="273"/>
      <c r="S80" s="619"/>
      <c r="T80" s="273"/>
      <c r="U80" s="619"/>
      <c r="V80" s="130"/>
    </row>
    <row r="81" spans="1:22" ht="13">
      <c r="A81" s="296"/>
      <c r="B81" s="133"/>
      <c r="C81" s="135"/>
      <c r="D81" s="137"/>
      <c r="E81" s="221"/>
      <c r="F81" s="237"/>
      <c r="G81" s="146"/>
      <c r="H81" s="145"/>
      <c r="I81" s="146"/>
      <c r="J81" s="147"/>
      <c r="K81" s="294"/>
      <c r="L81" s="146"/>
      <c r="M81" s="300"/>
      <c r="N81" s="146"/>
      <c r="O81" s="150"/>
      <c r="P81" s="151"/>
      <c r="Q81" s="151"/>
      <c r="R81" s="273"/>
      <c r="S81" s="619"/>
      <c r="T81" s="273"/>
      <c r="U81" s="619"/>
      <c r="V81" s="130"/>
    </row>
    <row r="82" spans="1:22" ht="13">
      <c r="A82" s="301"/>
      <c r="B82" s="302"/>
      <c r="C82" s="303"/>
      <c r="D82" s="305"/>
      <c r="E82" s="194"/>
      <c r="F82" s="195"/>
      <c r="G82" s="306"/>
      <c r="H82" s="307"/>
      <c r="I82" s="306"/>
      <c r="J82" s="308"/>
      <c r="K82" s="158"/>
      <c r="L82" s="306"/>
      <c r="M82" s="309"/>
      <c r="N82" s="306"/>
      <c r="O82" s="310"/>
      <c r="P82" s="311"/>
      <c r="Q82" s="311"/>
      <c r="R82" s="189"/>
      <c r="S82" s="63"/>
      <c r="T82" s="189"/>
      <c r="U82" s="63"/>
    </row>
    <row r="83" spans="1:22" ht="13" hidden="1">
      <c r="A83" s="207"/>
      <c r="B83" s="208"/>
      <c r="C83" s="209"/>
      <c r="D83" s="210"/>
      <c r="E83" s="194"/>
      <c r="F83" s="195"/>
      <c r="G83" s="77"/>
      <c r="H83" s="212"/>
      <c r="I83" s="77"/>
      <c r="J83" s="215"/>
      <c r="K83" s="77"/>
      <c r="L83" s="77"/>
      <c r="M83" s="77"/>
      <c r="N83" s="77"/>
      <c r="O83" s="290"/>
      <c r="P83" s="213"/>
      <c r="Q83" s="213"/>
      <c r="R83" s="214"/>
      <c r="S83" s="214"/>
      <c r="T83" s="214"/>
      <c r="U83" s="214"/>
    </row>
    <row r="84" spans="1:22" ht="13" hidden="1">
      <c r="A84" s="207"/>
      <c r="B84" s="208"/>
      <c r="C84" s="209"/>
      <c r="D84" s="210"/>
      <c r="E84" s="194"/>
      <c r="F84" s="195"/>
      <c r="G84" s="77"/>
      <c r="H84" s="212"/>
      <c r="I84" s="77"/>
      <c r="J84" s="215"/>
      <c r="K84" s="77"/>
      <c r="L84" s="77"/>
      <c r="M84" s="77"/>
      <c r="N84" s="77"/>
      <c r="O84" s="290"/>
      <c r="P84" s="213"/>
      <c r="Q84" s="213"/>
      <c r="R84" s="214"/>
      <c r="S84" s="214"/>
      <c r="T84" s="214"/>
      <c r="U84" s="214"/>
    </row>
    <row r="85" spans="1:22" ht="13" hidden="1">
      <c r="A85" s="207"/>
      <c r="B85" s="208"/>
      <c r="C85" s="209"/>
      <c r="D85" s="210"/>
      <c r="E85" s="194"/>
      <c r="F85" s="195"/>
      <c r="G85" s="77"/>
      <c r="H85" s="212"/>
      <c r="I85" s="77"/>
      <c r="J85" s="215"/>
      <c r="K85" s="77"/>
      <c r="L85" s="77"/>
      <c r="M85" s="77"/>
      <c r="N85" s="77"/>
      <c r="O85" s="290"/>
      <c r="P85" s="213"/>
      <c r="Q85" s="213"/>
      <c r="R85" s="214"/>
      <c r="S85" s="214"/>
      <c r="T85" s="214"/>
      <c r="U85" s="214"/>
    </row>
    <row r="86" spans="1:22" ht="13" hidden="1">
      <c r="A86" s="207"/>
      <c r="B86" s="208"/>
      <c r="C86" s="209"/>
      <c r="D86" s="210"/>
      <c r="E86" s="194"/>
      <c r="F86" s="195"/>
      <c r="G86" s="77"/>
      <c r="H86" s="212"/>
      <c r="I86" s="77"/>
      <c r="J86" s="215"/>
      <c r="K86" s="77"/>
      <c r="L86" s="77"/>
      <c r="M86" s="77"/>
      <c r="N86" s="77"/>
      <c r="O86" s="290"/>
      <c r="P86" s="213"/>
      <c r="Q86" s="213"/>
      <c r="R86" s="214"/>
      <c r="S86" s="214"/>
      <c r="T86" s="214"/>
      <c r="U86" s="214"/>
    </row>
    <row r="87" spans="1:22" ht="13" hidden="1">
      <c r="A87" s="207"/>
      <c r="B87" s="208"/>
      <c r="C87" s="209"/>
      <c r="D87" s="210"/>
      <c r="E87" s="194"/>
      <c r="F87" s="176"/>
      <c r="G87" s="77"/>
      <c r="H87" s="212"/>
      <c r="I87" s="77"/>
      <c r="J87" s="215"/>
      <c r="K87" s="77"/>
      <c r="L87" s="77"/>
      <c r="M87" s="77"/>
      <c r="N87" s="77"/>
      <c r="O87" s="290"/>
      <c r="P87" s="213"/>
      <c r="Q87" s="213"/>
      <c r="R87" s="214"/>
      <c r="S87" s="214"/>
      <c r="T87" s="214"/>
      <c r="U87" s="214"/>
    </row>
    <row r="88" spans="1:22" ht="13" hidden="1">
      <c r="A88" s="207"/>
      <c r="B88" s="208"/>
      <c r="C88" s="209"/>
      <c r="D88" s="210"/>
      <c r="E88" s="194"/>
      <c r="F88" s="195"/>
      <c r="G88" s="77"/>
      <c r="H88" s="212"/>
      <c r="I88" s="77"/>
      <c r="J88" s="215"/>
      <c r="K88" s="77"/>
      <c r="L88" s="77"/>
      <c r="M88" s="77"/>
      <c r="N88" s="77"/>
      <c r="O88" s="290"/>
      <c r="P88" s="213"/>
      <c r="Q88" s="213"/>
      <c r="R88" s="214"/>
      <c r="S88" s="214"/>
      <c r="T88" s="214"/>
      <c r="U88" s="214"/>
    </row>
    <row r="89" spans="1:22" ht="13" hidden="1">
      <c r="A89" s="207"/>
      <c r="B89" s="208"/>
      <c r="C89" s="209"/>
      <c r="D89" s="210"/>
      <c r="E89" s="194"/>
      <c r="F89" s="195"/>
      <c r="G89" s="77"/>
      <c r="H89" s="212"/>
      <c r="I89" s="77"/>
      <c r="J89" s="215"/>
      <c r="K89" s="77"/>
      <c r="L89" s="77"/>
      <c r="M89" s="77"/>
      <c r="N89" s="77"/>
      <c r="O89" s="290"/>
      <c r="P89" s="213"/>
      <c r="Q89" s="213"/>
      <c r="R89" s="214"/>
      <c r="S89" s="214"/>
      <c r="T89" s="214"/>
      <c r="U89" s="214"/>
    </row>
    <row r="90" spans="1:22" ht="13" hidden="1">
      <c r="A90" s="207"/>
      <c r="B90" s="208"/>
      <c r="C90" s="209"/>
      <c r="D90" s="210"/>
      <c r="E90" s="194"/>
      <c r="F90" s="195"/>
      <c r="G90" s="77"/>
      <c r="H90" s="212"/>
      <c r="I90" s="77"/>
      <c r="J90" s="215"/>
      <c r="K90" s="77"/>
      <c r="L90" s="77"/>
      <c r="M90" s="77"/>
      <c r="N90" s="77"/>
      <c r="O90" s="290"/>
      <c r="P90" s="213"/>
      <c r="Q90" s="213"/>
      <c r="R90" s="214"/>
      <c r="S90" s="214"/>
      <c r="T90" s="214"/>
      <c r="U90" s="214"/>
    </row>
    <row r="91" spans="1:22" ht="13" hidden="1">
      <c r="A91" s="207"/>
      <c r="B91" s="208"/>
      <c r="C91" s="209"/>
      <c r="D91" s="210"/>
      <c r="E91" s="194"/>
      <c r="F91" s="195"/>
      <c r="G91" s="77"/>
      <c r="H91" s="212"/>
      <c r="I91" s="77"/>
      <c r="J91" s="215"/>
      <c r="K91" s="77"/>
      <c r="L91" s="77"/>
      <c r="M91" s="77"/>
      <c r="N91" s="77"/>
      <c r="O91" s="290"/>
      <c r="P91" s="213"/>
      <c r="Q91" s="213"/>
      <c r="R91" s="214"/>
      <c r="S91" s="214"/>
      <c r="T91" s="214"/>
      <c r="U91" s="214"/>
    </row>
    <row r="92" spans="1:22" ht="13" hidden="1">
      <c r="A92" s="207"/>
      <c r="B92" s="208"/>
      <c r="C92" s="209"/>
      <c r="D92" s="210"/>
      <c r="E92" s="194"/>
      <c r="F92" s="195"/>
      <c r="G92" s="77"/>
      <c r="H92" s="212"/>
      <c r="I92" s="77"/>
      <c r="J92" s="215"/>
      <c r="K92" s="77"/>
      <c r="L92" s="77"/>
      <c r="M92" s="77"/>
      <c r="N92" s="77"/>
      <c r="O92" s="290"/>
      <c r="P92" s="213"/>
      <c r="Q92" s="213"/>
      <c r="R92" s="214"/>
      <c r="S92" s="214"/>
      <c r="T92" s="214"/>
      <c r="U92" s="214"/>
    </row>
    <row r="93" spans="1:22" ht="13" hidden="1">
      <c r="A93" s="207"/>
      <c r="B93" s="208"/>
      <c r="C93" s="209"/>
      <c r="D93" s="210"/>
      <c r="E93" s="194"/>
      <c r="F93" s="176"/>
      <c r="G93" s="77"/>
      <c r="H93" s="212"/>
      <c r="I93" s="77"/>
      <c r="J93" s="215"/>
      <c r="K93" s="77"/>
      <c r="L93" s="77"/>
      <c r="M93" s="77"/>
      <c r="N93" s="77"/>
      <c r="O93" s="290"/>
      <c r="P93" s="213"/>
      <c r="Q93" s="213"/>
      <c r="R93" s="214"/>
      <c r="S93" s="214"/>
      <c r="T93" s="214"/>
      <c r="U93" s="214"/>
    </row>
    <row r="94" spans="1:22" ht="13" hidden="1">
      <c r="A94" s="207"/>
      <c r="B94" s="208"/>
      <c r="C94" s="209"/>
      <c r="D94" s="210"/>
      <c r="E94" s="194"/>
      <c r="F94" s="195"/>
      <c r="G94" s="77"/>
      <c r="H94" s="212"/>
      <c r="I94" s="77"/>
      <c r="J94" s="215"/>
      <c r="K94" s="77"/>
      <c r="L94" s="77"/>
      <c r="M94" s="77"/>
      <c r="N94" s="77"/>
      <c r="O94" s="290"/>
      <c r="P94" s="213"/>
      <c r="Q94" s="213"/>
      <c r="R94" s="214"/>
      <c r="S94" s="214"/>
      <c r="T94" s="214"/>
      <c r="U94" s="214"/>
    </row>
    <row r="95" spans="1:22" ht="13" hidden="1">
      <c r="A95" s="207"/>
      <c r="B95" s="208"/>
      <c r="C95" s="209"/>
      <c r="D95" s="210"/>
      <c r="E95" s="217"/>
      <c r="F95" s="291"/>
      <c r="G95" s="77"/>
      <c r="H95" s="212"/>
      <c r="I95" s="77"/>
      <c r="J95" s="215"/>
      <c r="K95" s="77"/>
      <c r="L95" s="77"/>
      <c r="M95" s="77"/>
      <c r="N95" s="77"/>
      <c r="O95" s="290"/>
      <c r="P95" s="213"/>
      <c r="Q95" s="213"/>
      <c r="R95" s="214"/>
      <c r="S95" s="214"/>
      <c r="T95" s="214"/>
      <c r="U95" s="214"/>
    </row>
    <row r="96" spans="1:22" ht="13" hidden="1">
      <c r="A96" s="207"/>
      <c r="B96" s="208"/>
      <c r="C96" s="209"/>
      <c r="D96" s="210"/>
      <c r="E96" s="219"/>
      <c r="F96" s="219"/>
      <c r="G96" s="77"/>
      <c r="H96" s="212"/>
      <c r="I96" s="77"/>
      <c r="J96" s="215"/>
      <c r="K96" s="77"/>
      <c r="L96" s="77"/>
      <c r="M96" s="77"/>
      <c r="N96" s="77"/>
      <c r="O96" s="290"/>
      <c r="P96" s="213"/>
      <c r="Q96" s="213"/>
      <c r="R96" s="214"/>
      <c r="S96" s="214"/>
      <c r="T96" s="214"/>
      <c r="U96" s="214"/>
    </row>
    <row r="97" spans="1:21" ht="13" hidden="1">
      <c r="A97" s="207"/>
      <c r="B97" s="208"/>
      <c r="C97" s="209"/>
      <c r="D97" s="210"/>
      <c r="E97" s="219"/>
      <c r="F97" s="219"/>
      <c r="G97" s="77"/>
      <c r="H97" s="212"/>
      <c r="I97" s="77"/>
      <c r="J97" s="215"/>
      <c r="K97" s="77"/>
      <c r="L97" s="77"/>
      <c r="M97" s="77"/>
      <c r="N97" s="77"/>
      <c r="O97" s="290"/>
      <c r="P97" s="213"/>
      <c r="Q97" s="213"/>
      <c r="R97" s="214"/>
      <c r="S97" s="214"/>
      <c r="T97" s="214"/>
      <c r="U97" s="214"/>
    </row>
    <row r="98" spans="1:21" ht="13" hidden="1">
      <c r="A98" s="207"/>
      <c r="B98" s="208"/>
      <c r="C98" s="209"/>
      <c r="D98" s="210"/>
      <c r="E98" s="219"/>
      <c r="F98" s="219"/>
      <c r="G98" s="77"/>
      <c r="H98" s="212"/>
      <c r="I98" s="77"/>
      <c r="J98" s="215"/>
      <c r="K98" s="77"/>
      <c r="L98" s="77"/>
      <c r="M98" s="77"/>
      <c r="N98" s="77"/>
      <c r="O98" s="290"/>
      <c r="P98" s="213"/>
      <c r="Q98" s="213"/>
      <c r="R98" s="214"/>
      <c r="S98" s="214"/>
      <c r="T98" s="214"/>
      <c r="U98" s="214"/>
    </row>
    <row r="99" spans="1:21" ht="13" hidden="1">
      <c r="A99" s="207"/>
      <c r="B99" s="208"/>
      <c r="C99" s="209"/>
      <c r="D99" s="210"/>
      <c r="E99" s="219"/>
      <c r="F99" s="219"/>
      <c r="G99" s="77"/>
      <c r="H99" s="212"/>
      <c r="I99" s="77"/>
      <c r="J99" s="215"/>
      <c r="K99" s="77"/>
      <c r="L99" s="77"/>
      <c r="M99" s="77"/>
      <c r="N99" s="77"/>
      <c r="O99" s="290"/>
      <c r="P99" s="213"/>
      <c r="Q99" s="213"/>
      <c r="R99" s="214"/>
      <c r="S99" s="214"/>
      <c r="T99" s="214"/>
      <c r="U99" s="214"/>
    </row>
    <row r="100" spans="1:21" ht="13" hidden="1">
      <c r="A100" s="207"/>
      <c r="B100" s="208"/>
      <c r="C100" s="209"/>
      <c r="D100" s="210"/>
      <c r="E100" s="219"/>
      <c r="F100" s="219"/>
      <c r="G100" s="77"/>
      <c r="H100" s="212"/>
      <c r="I100" s="77"/>
      <c r="J100" s="215"/>
      <c r="K100" s="77"/>
      <c r="L100" s="77"/>
      <c r="M100" s="77"/>
      <c r="N100" s="77"/>
      <c r="O100" s="290"/>
      <c r="P100" s="213"/>
      <c r="Q100" s="213"/>
      <c r="R100" s="214"/>
      <c r="S100" s="214"/>
      <c r="T100" s="214"/>
      <c r="U100" s="214"/>
    </row>
    <row r="101" spans="1:21" ht="13" hidden="1">
      <c r="A101" s="207"/>
      <c r="B101" s="208"/>
      <c r="C101" s="209"/>
      <c r="D101" s="210"/>
      <c r="E101" s="219"/>
      <c r="F101" s="219"/>
      <c r="G101" s="77"/>
      <c r="H101" s="212"/>
      <c r="I101" s="77"/>
      <c r="J101" s="215"/>
      <c r="K101" s="77"/>
      <c r="L101" s="77"/>
      <c r="M101" s="77"/>
      <c r="N101" s="77"/>
      <c r="O101" s="290"/>
      <c r="P101" s="213"/>
      <c r="Q101" s="213"/>
      <c r="R101" s="214"/>
      <c r="S101" s="214"/>
      <c r="T101" s="214"/>
      <c r="U101" s="214"/>
    </row>
    <row r="102" spans="1:21" ht="13">
      <c r="A102" s="207"/>
      <c r="B102" s="208"/>
      <c r="C102" s="209"/>
      <c r="D102" s="210"/>
      <c r="E102" s="219"/>
      <c r="F102" s="219"/>
      <c r="G102" s="77"/>
      <c r="H102" s="212"/>
      <c r="I102" s="77"/>
      <c r="J102" s="215"/>
      <c r="K102" s="77"/>
      <c r="L102" s="77"/>
      <c r="M102" s="77"/>
      <c r="N102" s="77"/>
      <c r="O102" s="290"/>
      <c r="P102" s="213"/>
      <c r="Q102" s="213"/>
      <c r="R102" s="214"/>
      <c r="S102" s="214"/>
      <c r="T102" s="214"/>
      <c r="U102" s="214"/>
    </row>
    <row r="103" spans="1:21" ht="15">
      <c r="A103" s="312" t="s">
        <v>255</v>
      </c>
      <c r="B103" s="313"/>
      <c r="C103" s="312"/>
      <c r="D103" s="312"/>
      <c r="E103" s="314"/>
      <c r="F103" s="315"/>
      <c r="G103" s="312"/>
      <c r="H103" s="316"/>
      <c r="I103" s="312"/>
      <c r="J103" s="312"/>
      <c r="K103" s="312"/>
      <c r="L103" s="312"/>
      <c r="M103" s="312"/>
      <c r="N103" s="312"/>
      <c r="O103" s="312"/>
      <c r="P103" s="312"/>
      <c r="Q103" s="312"/>
      <c r="R103" s="317"/>
      <c r="S103" s="317"/>
      <c r="T103" s="317"/>
      <c r="U103" s="317"/>
    </row>
    <row r="104" spans="1:21" ht="15">
      <c r="A104" s="223" t="s">
        <v>136</v>
      </c>
      <c r="B104" s="318">
        <f>COUNT(C2:C101)</f>
        <v>2</v>
      </c>
      <c r="D104" s="77"/>
      <c r="E104" s="219"/>
      <c r="F104" s="220"/>
      <c r="G104" s="77"/>
      <c r="H104" s="212"/>
      <c r="I104" s="77"/>
      <c r="J104" s="77"/>
      <c r="K104" s="77"/>
      <c r="L104" s="77"/>
      <c r="M104" s="77"/>
      <c r="N104" s="77"/>
      <c r="O104" s="77"/>
      <c r="P104" s="77"/>
      <c r="Q104" s="77"/>
      <c r="R104" s="214"/>
      <c r="S104" s="214"/>
      <c r="T104" s="214"/>
      <c r="U104" s="214"/>
    </row>
    <row r="105" spans="1:21" ht="13">
      <c r="A105" s="225" t="s">
        <v>256</v>
      </c>
      <c r="E105" s="219"/>
      <c r="F105" s="220"/>
      <c r="H105" s="226"/>
      <c r="R105" s="214"/>
      <c r="S105" s="214"/>
      <c r="T105" s="214"/>
      <c r="U105" s="214"/>
    </row>
    <row r="106" spans="1:21" ht="13">
      <c r="A106" s="207"/>
      <c r="B106" s="77"/>
      <c r="C106" s="77"/>
      <c r="D106" s="77"/>
      <c r="E106" s="219"/>
      <c r="F106" s="220"/>
      <c r="G106" s="77"/>
      <c r="H106" s="212"/>
      <c r="I106" s="77"/>
      <c r="J106" s="77"/>
      <c r="K106" s="77"/>
      <c r="L106" s="77"/>
      <c r="M106" s="77"/>
      <c r="N106" s="77"/>
      <c r="O106" s="77"/>
      <c r="P106" s="77"/>
      <c r="Q106" s="77"/>
      <c r="R106" s="214"/>
      <c r="S106" s="214"/>
      <c r="T106" s="214"/>
      <c r="U106" s="214"/>
    </row>
    <row r="107" spans="1:21" ht="13">
      <c r="A107" s="319" t="str">
        <f>HYPERLINK("https://phillipreeve.net/blog/sony-fe-lenses/fe-list/","If you have a question or want to report any mistake please leave a comment on the blog.")</f>
        <v>If you have a question or want to report any mistake please leave a comment on the blog.</v>
      </c>
      <c r="B107" s="228"/>
      <c r="C107" s="228"/>
      <c r="D107" s="228"/>
      <c r="E107" s="229"/>
      <c r="F107" s="230"/>
      <c r="G107" s="228"/>
      <c r="H107" s="231"/>
      <c r="I107" s="228"/>
      <c r="P107" s="228"/>
      <c r="Q107" s="228"/>
      <c r="R107" s="214"/>
      <c r="S107" s="214"/>
      <c r="T107" s="214"/>
      <c r="U107" s="214"/>
    </row>
    <row r="108" spans="1:21" ht="13">
      <c r="E108" s="219"/>
      <c r="F108" s="220"/>
      <c r="H108" s="226"/>
      <c r="R108" s="214"/>
      <c r="S108" s="214"/>
      <c r="T108" s="214"/>
      <c r="U108" s="214"/>
    </row>
    <row r="109" spans="1:21" ht="13">
      <c r="A109" s="207" t="s">
        <v>139</v>
      </c>
      <c r="E109" s="219"/>
      <c r="F109" s="220"/>
      <c r="H109" s="226"/>
      <c r="R109" s="214"/>
      <c r="S109" s="214"/>
      <c r="T109" s="214"/>
      <c r="U109" s="214"/>
    </row>
    <row r="110" spans="1:21" ht="13">
      <c r="A110" s="170" t="str">
        <f>HYPERLINK("https://phillipreeve.net/blog/fe-lenses-sony-comprehensive-independent-guide/","Our Guide to FE-mount lenses - If you need any help on finding the right lens.")</f>
        <v>Our Guide to FE-mount lenses - If you need any help on finding the right lens.</v>
      </c>
      <c r="E110" s="219"/>
      <c r="F110" s="220"/>
      <c r="H110" s="226"/>
      <c r="R110" s="214"/>
      <c r="S110" s="214"/>
      <c r="T110" s="214"/>
      <c r="U110" s="214"/>
    </row>
    <row r="111" spans="1:21" ht="13">
      <c r="A111" s="170" t="str">
        <f>HYPERLINK("https://phillipreeve.net/blog/9-golden-rules-to-buy-the-wrong-lens/","10 golden rules to buy the wrong lens.")</f>
        <v>10 golden rules to buy the wrong lens.</v>
      </c>
      <c r="E111" s="219"/>
      <c r="F111" s="220"/>
      <c r="H111" s="226"/>
      <c r="R111" s="214"/>
      <c r="S111" s="214"/>
      <c r="T111" s="214"/>
      <c r="U111" s="214"/>
    </row>
    <row r="112" spans="1:21" ht="13">
      <c r="A112" s="170" t="str">
        <f>HYPERLINK("https://phillipreeve.net/blog/user-guide-ultra-wideangle-lenses-sony-alpha-7-series/","Our Guide to Ultra-Wideangle lenses")</f>
        <v>Our Guide to Ultra-Wideangle lenses</v>
      </c>
      <c r="E112" s="219"/>
      <c r="F112" s="220"/>
      <c r="H112" s="226"/>
      <c r="R112" s="214"/>
      <c r="S112" s="214"/>
      <c r="T112" s="214"/>
      <c r="U112" s="214"/>
    </row>
    <row r="113" spans="1:21" ht="13">
      <c r="A113" s="170" t="str">
        <f>HYPERLINK("https://phillipreeve.net/blog/wideangle-lenses-for-the-sony-alpha-7-series/","Our Guide to Wideangle lenses")</f>
        <v>Our Guide to Wideangle lenses</v>
      </c>
      <c r="E113" s="219"/>
      <c r="F113" s="220"/>
      <c r="H113" s="226"/>
      <c r="R113" s="214"/>
      <c r="S113" s="214"/>
      <c r="T113" s="214"/>
      <c r="U113" s="214"/>
    </row>
    <row r="114" spans="1:21" ht="13">
      <c r="A114" s="170" t="str">
        <f>HYPERLINK("https://phillipreeve.net/blog/guide-to-macro-lenses-for-the-sony-a7-series/","Our Guide to Macro lenses")</f>
        <v>Our Guide to Macro lenses</v>
      </c>
      <c r="E114" s="219"/>
      <c r="F114" s="220"/>
      <c r="H114" s="226"/>
      <c r="R114" s="214"/>
      <c r="S114" s="214"/>
      <c r="T114" s="214"/>
      <c r="U114" s="214"/>
    </row>
    <row r="115" spans="1:21" ht="13">
      <c r="A115" s="170" t="str">
        <f>HYPERLINK("https://phillipreeve.net/blog/user-guide-to-portrait-lenses-sony-a7-series/","Our Guide to Portrait lenses")</f>
        <v>Our Guide to Portrait lenses</v>
      </c>
      <c r="E115" s="219"/>
      <c r="F115" s="220"/>
      <c r="H115" s="226"/>
      <c r="R115" s="214"/>
      <c r="S115" s="214"/>
      <c r="T115" s="214"/>
      <c r="U115" s="214"/>
    </row>
    <row r="116" spans="1:21" ht="13">
      <c r="A116" s="170" t="str">
        <f>HYPERLINK("https://phillipreeve.net/blog/building-a-lens-kit/","Building a lens kit")</f>
        <v>Building a lens kit</v>
      </c>
      <c r="E116" s="219"/>
      <c r="F116" s="220"/>
      <c r="H116" s="226"/>
      <c r="R116" s="214"/>
      <c r="S116" s="214"/>
      <c r="T116" s="214"/>
      <c r="U116" s="214"/>
    </row>
    <row r="117" spans="1:21" ht="13">
      <c r="A117" s="77"/>
      <c r="H117" s="226"/>
      <c r="R117" s="214"/>
      <c r="S117" s="214"/>
      <c r="T117" s="214"/>
      <c r="U117" s="214"/>
    </row>
    <row r="118" spans="1:21" ht="13">
      <c r="A118" s="207" t="s">
        <v>201</v>
      </c>
      <c r="H118" s="226"/>
      <c r="R118" s="214"/>
      <c r="S118" s="214"/>
      <c r="T118" s="214"/>
      <c r="U118" s="214"/>
    </row>
    <row r="119" spans="1:21" ht="13">
      <c r="A119" s="77" t="s">
        <v>202</v>
      </c>
      <c r="H119" s="226"/>
      <c r="R119" s="214"/>
      <c r="S119" s="214"/>
      <c r="T119" s="214"/>
      <c r="U119" s="214"/>
    </row>
    <row r="120" spans="1:21" ht="13">
      <c r="A120" s="77" t="s">
        <v>203</v>
      </c>
      <c r="H120" s="226"/>
      <c r="R120" s="214"/>
      <c r="S120" s="214"/>
      <c r="T120" s="214"/>
      <c r="U120" s="214"/>
    </row>
    <row r="121" spans="1:21" ht="13">
      <c r="A121" s="77" t="s">
        <v>204</v>
      </c>
      <c r="H121" s="226"/>
      <c r="R121" s="214"/>
      <c r="S121" s="214"/>
      <c r="T121" s="214"/>
      <c r="U121" s="214"/>
    </row>
    <row r="122" spans="1:21" ht="13">
      <c r="A122" s="77" t="s">
        <v>205</v>
      </c>
      <c r="H122" s="226"/>
      <c r="R122" s="214"/>
      <c r="S122" s="214"/>
      <c r="T122" s="214"/>
      <c r="U122" s="214"/>
    </row>
    <row r="123" spans="1:21" ht="13">
      <c r="A123" s="233"/>
      <c r="H123" s="226"/>
      <c r="R123" s="214"/>
      <c r="S123" s="214"/>
      <c r="T123" s="214"/>
      <c r="U123" s="214"/>
    </row>
    <row r="124" spans="1:21" ht="13">
      <c r="A124" s="207" t="s">
        <v>142</v>
      </c>
      <c r="H124" s="226"/>
      <c r="R124" s="214"/>
      <c r="S124" s="214"/>
      <c r="T124" s="214"/>
      <c r="U124" s="214"/>
    </row>
    <row r="125" spans="1:21" ht="13">
      <c r="A125" s="77" t="s">
        <v>206</v>
      </c>
      <c r="D125" s="233"/>
      <c r="H125" s="226"/>
      <c r="R125" s="214"/>
      <c r="S125" s="214"/>
      <c r="T125" s="214"/>
      <c r="U125" s="214"/>
    </row>
    <row r="126" spans="1:21" ht="13">
      <c r="A126" s="77" t="s">
        <v>144</v>
      </c>
      <c r="D126" s="233"/>
      <c r="H126" s="226"/>
      <c r="R126" s="214"/>
      <c r="S126" s="214"/>
      <c r="T126" s="214"/>
      <c r="U126" s="214"/>
    </row>
    <row r="127" spans="1:21" ht="13">
      <c r="H127" s="226"/>
      <c r="R127" s="214"/>
      <c r="S127" s="214"/>
      <c r="T127" s="214"/>
      <c r="U127" s="214"/>
    </row>
    <row r="128" spans="1:21" ht="13">
      <c r="A128" s="170" t="str">
        <f>HYPERLINK("https://phillipreeve.net/blog/impressum/","Impressum")</f>
        <v>Impressum</v>
      </c>
      <c r="H128" s="226"/>
      <c r="R128" s="214"/>
      <c r="S128" s="214"/>
      <c r="T128" s="214"/>
      <c r="U128" s="214"/>
    </row>
    <row r="129" spans="1:21" ht="13">
      <c r="H129" s="226"/>
      <c r="R129" s="214"/>
      <c r="S129" s="214"/>
      <c r="T129" s="214"/>
      <c r="U129" s="214"/>
    </row>
    <row r="130" spans="1:21" ht="13">
      <c r="H130" s="226"/>
      <c r="R130" s="214"/>
      <c r="S130" s="214"/>
      <c r="T130" s="214"/>
      <c r="U130" s="214"/>
    </row>
    <row r="131" spans="1:21" ht="13">
      <c r="H131" s="226"/>
      <c r="R131" s="214"/>
      <c r="S131" s="214"/>
      <c r="T131" s="214"/>
      <c r="U131" s="214"/>
    </row>
    <row r="132" spans="1:21" ht="13">
      <c r="H132" s="226"/>
      <c r="R132" s="214"/>
      <c r="S132" s="214"/>
      <c r="T132" s="214"/>
      <c r="U132" s="214"/>
    </row>
    <row r="133" spans="1:21" ht="13">
      <c r="H133" s="226"/>
      <c r="R133" s="214"/>
      <c r="S133" s="214"/>
      <c r="T133" s="214"/>
      <c r="U133" s="214"/>
    </row>
    <row r="134" spans="1:21" ht="13">
      <c r="A134" s="207"/>
      <c r="H134" s="226"/>
      <c r="R134" s="214"/>
      <c r="S134" s="214"/>
      <c r="T134" s="214"/>
      <c r="U134" s="214"/>
    </row>
    <row r="135" spans="1:21" ht="13">
      <c r="A135" s="207"/>
      <c r="H135" s="226"/>
      <c r="R135" s="214"/>
      <c r="S135" s="214"/>
      <c r="T135" s="214"/>
      <c r="U135" s="214"/>
    </row>
    <row r="136" spans="1:21" ht="13">
      <c r="A136" s="207"/>
      <c r="H136" s="226"/>
      <c r="R136" s="214"/>
      <c r="S136" s="214"/>
      <c r="T136" s="214"/>
      <c r="U136" s="214"/>
    </row>
    <row r="137" spans="1:21" ht="13">
      <c r="A137" s="207"/>
      <c r="H137" s="226"/>
      <c r="R137" s="214"/>
      <c r="S137" s="214"/>
      <c r="T137" s="214"/>
      <c r="U137" s="214"/>
    </row>
    <row r="138" spans="1:21" ht="13">
      <c r="A138" s="207"/>
      <c r="H138" s="226"/>
      <c r="R138" s="214"/>
      <c r="S138" s="214"/>
      <c r="T138" s="214"/>
      <c r="U138" s="214"/>
    </row>
    <row r="139" spans="1:21" ht="13">
      <c r="A139" s="207"/>
      <c r="H139" s="226"/>
      <c r="R139" s="214"/>
      <c r="S139" s="214"/>
      <c r="T139" s="214"/>
      <c r="U139" s="214"/>
    </row>
    <row r="140" spans="1:21" ht="13">
      <c r="A140" s="233"/>
      <c r="H140" s="226"/>
      <c r="R140" s="214"/>
      <c r="S140" s="214"/>
      <c r="T140" s="214"/>
      <c r="U140" s="214"/>
    </row>
    <row r="141" spans="1:21" ht="13">
      <c r="A141" s="207"/>
      <c r="H141" s="226"/>
      <c r="R141" s="214"/>
      <c r="S141" s="214"/>
      <c r="T141" s="214"/>
      <c r="U141" s="214"/>
    </row>
    <row r="142" spans="1:21" ht="13">
      <c r="A142" s="207"/>
      <c r="H142" s="226"/>
      <c r="R142" s="214"/>
      <c r="S142" s="214"/>
      <c r="T142" s="214"/>
      <c r="U142" s="214"/>
    </row>
    <row r="143" spans="1:21" ht="13">
      <c r="A143" s="233"/>
      <c r="H143" s="226"/>
      <c r="R143" s="214"/>
      <c r="S143" s="214"/>
      <c r="T143" s="214"/>
      <c r="U143" s="214"/>
    </row>
    <row r="144" spans="1:21" ht="13">
      <c r="A144" s="207"/>
      <c r="H144" s="226"/>
      <c r="R144" s="214"/>
      <c r="S144" s="214"/>
      <c r="T144" s="214"/>
      <c r="U144" s="214"/>
    </row>
    <row r="145" spans="1:21" ht="13">
      <c r="A145" s="207"/>
      <c r="H145" s="226"/>
      <c r="R145" s="214"/>
      <c r="S145" s="214"/>
      <c r="T145" s="214"/>
      <c r="U145" s="214"/>
    </row>
    <row r="146" spans="1:21" ht="13">
      <c r="A146" s="207"/>
      <c r="H146" s="226"/>
      <c r="R146" s="214"/>
      <c r="S146" s="214"/>
      <c r="T146" s="214"/>
      <c r="U146" s="214"/>
    </row>
    <row r="147" spans="1:21" ht="13">
      <c r="A147" s="207"/>
      <c r="H147" s="226"/>
      <c r="R147" s="214"/>
      <c r="S147" s="214"/>
      <c r="T147" s="214"/>
      <c r="U147" s="214"/>
    </row>
    <row r="148" spans="1:21" ht="13">
      <c r="A148" s="207"/>
      <c r="H148" s="226"/>
      <c r="R148" s="214"/>
      <c r="S148" s="214"/>
      <c r="T148" s="214"/>
      <c r="U148" s="214"/>
    </row>
    <row r="149" spans="1:21" ht="13">
      <c r="A149" s="207"/>
      <c r="H149" s="226"/>
      <c r="R149" s="214"/>
      <c r="S149" s="214"/>
      <c r="T149" s="214"/>
      <c r="U149" s="214"/>
    </row>
    <row r="150" spans="1:21" ht="13">
      <c r="A150" s="207"/>
      <c r="H150" s="226"/>
      <c r="R150" s="214"/>
      <c r="S150" s="214"/>
      <c r="T150" s="214"/>
      <c r="U150" s="214"/>
    </row>
    <row r="151" spans="1:21" ht="13">
      <c r="A151" s="207"/>
      <c r="H151" s="226"/>
      <c r="R151" s="214"/>
      <c r="S151" s="214"/>
      <c r="T151" s="214"/>
      <c r="U151" s="214"/>
    </row>
    <row r="152" spans="1:21" ht="13">
      <c r="A152" s="207"/>
      <c r="H152" s="226"/>
      <c r="R152" s="214"/>
      <c r="S152" s="214"/>
      <c r="T152" s="214"/>
      <c r="U152" s="214"/>
    </row>
    <row r="153" spans="1:21" ht="13">
      <c r="A153" s="233"/>
      <c r="H153" s="226"/>
      <c r="R153" s="214"/>
      <c r="S153" s="214"/>
      <c r="T153" s="214"/>
      <c r="U153" s="214"/>
    </row>
    <row r="154" spans="1:21" ht="13">
      <c r="A154" s="233"/>
      <c r="H154" s="226"/>
      <c r="R154" s="214"/>
      <c r="S154" s="214"/>
      <c r="T154" s="214"/>
      <c r="U154" s="214"/>
    </row>
    <row r="155" spans="1:21" ht="13">
      <c r="H155" s="226"/>
      <c r="R155" s="214"/>
      <c r="S155" s="214"/>
      <c r="T155" s="214"/>
      <c r="U155" s="214"/>
    </row>
    <row r="156" spans="1:21" ht="13">
      <c r="H156" s="226"/>
      <c r="R156" s="214"/>
      <c r="S156" s="214"/>
      <c r="T156" s="214"/>
      <c r="U156" s="214"/>
    </row>
    <row r="157" spans="1:21" ht="13">
      <c r="H157" s="226"/>
      <c r="R157" s="214"/>
      <c r="S157" s="214"/>
      <c r="T157" s="214"/>
      <c r="U157" s="214"/>
    </row>
    <row r="158" spans="1:21" ht="13">
      <c r="H158" s="226"/>
      <c r="R158" s="214"/>
      <c r="S158" s="214"/>
      <c r="T158" s="214"/>
      <c r="U158" s="214"/>
    </row>
    <row r="159" spans="1:21" ht="13">
      <c r="H159" s="226"/>
    </row>
    <row r="160" spans="1:21" ht="13">
      <c r="H160" s="226"/>
    </row>
    <row r="161" spans="8:8" ht="13">
      <c r="H161" s="226"/>
    </row>
    <row r="162" spans="8:8" ht="13">
      <c r="H162" s="226"/>
    </row>
    <row r="163" spans="8:8" ht="13">
      <c r="H163" s="226"/>
    </row>
    <row r="164" spans="8:8" ht="13">
      <c r="H164" s="226"/>
    </row>
    <row r="165" spans="8:8" ht="13">
      <c r="H165" s="226"/>
    </row>
    <row r="166" spans="8:8" ht="13">
      <c r="H166" s="226"/>
    </row>
    <row r="167" spans="8:8" ht="13">
      <c r="H167" s="226"/>
    </row>
    <row r="168" spans="8:8" ht="13">
      <c r="H168" s="226"/>
    </row>
    <row r="169" spans="8:8" ht="13">
      <c r="H169" s="226"/>
    </row>
    <row r="170" spans="8:8" ht="13">
      <c r="H170" s="226"/>
    </row>
    <row r="171" spans="8:8" ht="13">
      <c r="H171" s="226"/>
    </row>
    <row r="172" spans="8:8" ht="13">
      <c r="H172" s="226"/>
    </row>
    <row r="173" spans="8:8" ht="13">
      <c r="H173" s="226"/>
    </row>
    <row r="174" spans="8:8" ht="13">
      <c r="H174" s="226"/>
    </row>
    <row r="175" spans="8:8" ht="13">
      <c r="H175" s="226"/>
    </row>
    <row r="176" spans="8:8" ht="13">
      <c r="H176" s="226"/>
    </row>
    <row r="177" spans="8:8" ht="13">
      <c r="H177" s="226"/>
    </row>
    <row r="178" spans="8:8" ht="13">
      <c r="H178" s="226"/>
    </row>
    <row r="179" spans="8:8" ht="13">
      <c r="H179" s="226"/>
    </row>
    <row r="180" spans="8:8" ht="13">
      <c r="H180" s="226"/>
    </row>
    <row r="181" spans="8:8" ht="13">
      <c r="H181" s="226"/>
    </row>
    <row r="182" spans="8:8" ht="13">
      <c r="H182" s="226"/>
    </row>
    <row r="183" spans="8:8" ht="13">
      <c r="H183" s="226"/>
    </row>
    <row r="184" spans="8:8" ht="13">
      <c r="H184" s="226"/>
    </row>
    <row r="185" spans="8:8" ht="13">
      <c r="H185" s="226"/>
    </row>
    <row r="186" spans="8:8" ht="13">
      <c r="H186" s="226"/>
    </row>
    <row r="187" spans="8:8" ht="13">
      <c r="H187" s="226"/>
    </row>
    <row r="188" spans="8:8" ht="13">
      <c r="H188" s="226"/>
    </row>
    <row r="189" spans="8:8" ht="13">
      <c r="H189" s="226"/>
    </row>
    <row r="190" spans="8:8" ht="13">
      <c r="H190" s="226"/>
    </row>
    <row r="191" spans="8:8" ht="13">
      <c r="H191" s="226"/>
    </row>
    <row r="192" spans="8:8" ht="13">
      <c r="H192" s="226"/>
    </row>
    <row r="193" spans="8:8" ht="13">
      <c r="H193" s="226"/>
    </row>
    <row r="194" spans="8:8" ht="13">
      <c r="H194" s="226"/>
    </row>
    <row r="195" spans="8:8" ht="13">
      <c r="H195" s="226"/>
    </row>
    <row r="196" spans="8:8" ht="13">
      <c r="H196" s="226"/>
    </row>
    <row r="197" spans="8:8" ht="13">
      <c r="H197" s="226"/>
    </row>
    <row r="198" spans="8:8" ht="13">
      <c r="H198" s="226"/>
    </row>
    <row r="199" spans="8:8" ht="13">
      <c r="H199" s="226"/>
    </row>
    <row r="200" spans="8:8" ht="13">
      <c r="H200" s="226"/>
    </row>
    <row r="201" spans="8:8" ht="13">
      <c r="H201" s="226"/>
    </row>
    <row r="202" spans="8:8" ht="13">
      <c r="H202" s="226"/>
    </row>
    <row r="203" spans="8:8" ht="13">
      <c r="H203" s="226"/>
    </row>
    <row r="204" spans="8:8" ht="13">
      <c r="H204" s="226"/>
    </row>
    <row r="205" spans="8:8" ht="13">
      <c r="H205" s="226"/>
    </row>
    <row r="206" spans="8:8" ht="13">
      <c r="H206" s="226"/>
    </row>
    <row r="207" spans="8:8" ht="13">
      <c r="H207" s="226"/>
    </row>
    <row r="208" spans="8:8" ht="13">
      <c r="H208" s="226"/>
    </row>
    <row r="209" spans="8:8" ht="13">
      <c r="H209" s="226"/>
    </row>
    <row r="210" spans="8:8" ht="13">
      <c r="H210" s="226"/>
    </row>
    <row r="211" spans="8:8" ht="13">
      <c r="H211" s="226"/>
    </row>
    <row r="212" spans="8:8" ht="13">
      <c r="H212" s="226"/>
    </row>
    <row r="213" spans="8:8" ht="13">
      <c r="H213" s="226"/>
    </row>
    <row r="214" spans="8:8" ht="13">
      <c r="H214" s="226"/>
    </row>
    <row r="215" spans="8:8" ht="13">
      <c r="H215" s="226"/>
    </row>
    <row r="216" spans="8:8" ht="13">
      <c r="H216" s="226"/>
    </row>
    <row r="217" spans="8:8" ht="13">
      <c r="H217" s="226"/>
    </row>
    <row r="218" spans="8:8" ht="13">
      <c r="H218" s="226"/>
    </row>
    <row r="219" spans="8:8" ht="13">
      <c r="H219" s="226"/>
    </row>
    <row r="220" spans="8:8" ht="13">
      <c r="H220" s="226"/>
    </row>
    <row r="221" spans="8:8" ht="13">
      <c r="H221" s="226"/>
    </row>
    <row r="222" spans="8:8" ht="13">
      <c r="H222" s="226"/>
    </row>
    <row r="223" spans="8:8" ht="13">
      <c r="H223" s="226"/>
    </row>
    <row r="224" spans="8:8" ht="13">
      <c r="H224" s="226"/>
    </row>
    <row r="225" spans="8:8" ht="13">
      <c r="H225" s="226"/>
    </row>
    <row r="226" spans="8:8" ht="13">
      <c r="H226" s="226"/>
    </row>
    <row r="227" spans="8:8" ht="13">
      <c r="H227" s="226"/>
    </row>
    <row r="228" spans="8:8" ht="13">
      <c r="H228" s="226"/>
    </row>
    <row r="229" spans="8:8" ht="13">
      <c r="H229" s="226"/>
    </row>
    <row r="230" spans="8:8" ht="13">
      <c r="H230" s="226"/>
    </row>
    <row r="231" spans="8:8" ht="13">
      <c r="H231" s="226"/>
    </row>
    <row r="232" spans="8:8" ht="13">
      <c r="H232" s="226"/>
    </row>
    <row r="233" spans="8:8" ht="13">
      <c r="H233" s="226"/>
    </row>
    <row r="234" spans="8:8" ht="13">
      <c r="H234" s="226"/>
    </row>
    <row r="235" spans="8:8" ht="13">
      <c r="H235" s="226"/>
    </row>
    <row r="236" spans="8:8" ht="13">
      <c r="H236" s="226"/>
    </row>
    <row r="237" spans="8:8" ht="13">
      <c r="H237" s="226"/>
    </row>
    <row r="238" spans="8:8" ht="13">
      <c r="H238" s="226"/>
    </row>
    <row r="239" spans="8:8" ht="13">
      <c r="H239" s="226"/>
    </row>
    <row r="240" spans="8:8" ht="13">
      <c r="H240" s="226"/>
    </row>
    <row r="241" spans="8:8" ht="13">
      <c r="H241" s="226"/>
    </row>
    <row r="242" spans="8:8" ht="13">
      <c r="H242" s="226"/>
    </row>
    <row r="243" spans="8:8" ht="13">
      <c r="H243" s="226"/>
    </row>
    <row r="244" spans="8:8" ht="13">
      <c r="H244" s="226"/>
    </row>
    <row r="245" spans="8:8" ht="13">
      <c r="H245" s="226"/>
    </row>
    <row r="246" spans="8:8" ht="13">
      <c r="H246" s="226"/>
    </row>
    <row r="247" spans="8:8" ht="13">
      <c r="H247" s="226"/>
    </row>
    <row r="248" spans="8:8" ht="13">
      <c r="H248" s="226"/>
    </row>
    <row r="249" spans="8:8" ht="13">
      <c r="H249" s="226"/>
    </row>
    <row r="250" spans="8:8" ht="13">
      <c r="H250" s="226"/>
    </row>
    <row r="251" spans="8:8" ht="13">
      <c r="H251" s="226"/>
    </row>
    <row r="252" spans="8:8" ht="13">
      <c r="H252" s="226"/>
    </row>
    <row r="253" spans="8:8" ht="13">
      <c r="H253" s="226"/>
    </row>
    <row r="254" spans="8:8" ht="13">
      <c r="H254" s="226"/>
    </row>
    <row r="255" spans="8:8" ht="13">
      <c r="H255" s="226"/>
    </row>
    <row r="256" spans="8:8" ht="13">
      <c r="H256" s="226"/>
    </row>
    <row r="257" spans="8:8" ht="13">
      <c r="H257" s="226"/>
    </row>
    <row r="258" spans="8:8" ht="13">
      <c r="H258" s="226"/>
    </row>
    <row r="259" spans="8:8" ht="13">
      <c r="H259" s="226"/>
    </row>
    <row r="260" spans="8:8" ht="13">
      <c r="H260" s="226"/>
    </row>
    <row r="261" spans="8:8" ht="13">
      <c r="H261" s="226"/>
    </row>
    <row r="262" spans="8:8" ht="13">
      <c r="H262" s="226"/>
    </row>
    <row r="263" spans="8:8" ht="13">
      <c r="H263" s="226"/>
    </row>
    <row r="264" spans="8:8" ht="13">
      <c r="H264" s="226"/>
    </row>
    <row r="265" spans="8:8" ht="13">
      <c r="H265" s="226"/>
    </row>
    <row r="266" spans="8:8" ht="13">
      <c r="H266" s="226"/>
    </row>
    <row r="267" spans="8:8" ht="13">
      <c r="H267" s="226"/>
    </row>
    <row r="268" spans="8:8" ht="13">
      <c r="H268" s="226"/>
    </row>
    <row r="269" spans="8:8" ht="13">
      <c r="H269" s="226"/>
    </row>
    <row r="270" spans="8:8" ht="13">
      <c r="H270" s="226"/>
    </row>
    <row r="271" spans="8:8" ht="13">
      <c r="H271" s="226"/>
    </row>
    <row r="272" spans="8:8" ht="13">
      <c r="H272" s="226"/>
    </row>
    <row r="273" spans="8:8" ht="13">
      <c r="H273" s="226"/>
    </row>
    <row r="274" spans="8:8" ht="13">
      <c r="H274" s="226"/>
    </row>
    <row r="275" spans="8:8" ht="13">
      <c r="H275" s="226"/>
    </row>
    <row r="276" spans="8:8" ht="13">
      <c r="H276" s="226"/>
    </row>
    <row r="277" spans="8:8" ht="13">
      <c r="H277" s="226"/>
    </row>
    <row r="278" spans="8:8" ht="13">
      <c r="H278" s="226"/>
    </row>
    <row r="279" spans="8:8" ht="13">
      <c r="H279" s="226"/>
    </row>
    <row r="280" spans="8:8" ht="13">
      <c r="H280" s="226"/>
    </row>
    <row r="281" spans="8:8" ht="13">
      <c r="H281" s="226"/>
    </row>
    <row r="282" spans="8:8" ht="13">
      <c r="H282" s="226"/>
    </row>
    <row r="283" spans="8:8" ht="13">
      <c r="H283" s="226"/>
    </row>
    <row r="284" spans="8:8" ht="13">
      <c r="H284" s="226"/>
    </row>
    <row r="285" spans="8:8" ht="13">
      <c r="H285" s="226"/>
    </row>
    <row r="286" spans="8:8" ht="13">
      <c r="H286" s="226"/>
    </row>
    <row r="287" spans="8:8" ht="13">
      <c r="H287" s="226"/>
    </row>
    <row r="288" spans="8:8" ht="13">
      <c r="H288" s="226"/>
    </row>
    <row r="289" spans="8:8" ht="13">
      <c r="H289" s="226"/>
    </row>
    <row r="290" spans="8:8" ht="13">
      <c r="H290" s="226"/>
    </row>
    <row r="291" spans="8:8" ht="13">
      <c r="H291" s="226"/>
    </row>
    <row r="292" spans="8:8" ht="13">
      <c r="H292" s="226"/>
    </row>
    <row r="293" spans="8:8" ht="13">
      <c r="H293" s="226"/>
    </row>
    <row r="294" spans="8:8" ht="13">
      <c r="H294" s="226"/>
    </row>
    <row r="295" spans="8:8" ht="13">
      <c r="H295" s="226"/>
    </row>
    <row r="296" spans="8:8" ht="13">
      <c r="H296" s="226"/>
    </row>
    <row r="297" spans="8:8" ht="13">
      <c r="H297" s="226"/>
    </row>
    <row r="298" spans="8:8" ht="13">
      <c r="H298" s="226"/>
    </row>
    <row r="299" spans="8:8" ht="13">
      <c r="H299" s="226"/>
    </row>
    <row r="300" spans="8:8" ht="13">
      <c r="H300" s="226"/>
    </row>
    <row r="301" spans="8:8" ht="13">
      <c r="H301" s="226"/>
    </row>
    <row r="302" spans="8:8" ht="13">
      <c r="H302" s="226"/>
    </row>
    <row r="303" spans="8:8" ht="13">
      <c r="H303" s="226"/>
    </row>
    <row r="304" spans="8:8" ht="13">
      <c r="H304" s="226"/>
    </row>
    <row r="305" spans="8:8" ht="13">
      <c r="H305" s="226"/>
    </row>
    <row r="306" spans="8:8" ht="13">
      <c r="H306" s="226"/>
    </row>
    <row r="307" spans="8:8" ht="13">
      <c r="H307" s="226"/>
    </row>
    <row r="308" spans="8:8" ht="13">
      <c r="H308" s="226"/>
    </row>
    <row r="309" spans="8:8" ht="13">
      <c r="H309" s="226"/>
    </row>
    <row r="310" spans="8:8" ht="13">
      <c r="H310" s="226"/>
    </row>
    <row r="311" spans="8:8" ht="13">
      <c r="H311" s="226"/>
    </row>
    <row r="312" spans="8:8" ht="13">
      <c r="H312" s="226"/>
    </row>
    <row r="313" spans="8:8" ht="13">
      <c r="H313" s="226"/>
    </row>
    <row r="314" spans="8:8" ht="13">
      <c r="H314" s="226"/>
    </row>
    <row r="315" spans="8:8" ht="13">
      <c r="H315" s="226"/>
    </row>
    <row r="316" spans="8:8" ht="13">
      <c r="H316" s="226"/>
    </row>
    <row r="317" spans="8:8" ht="13">
      <c r="H317" s="226"/>
    </row>
    <row r="318" spans="8:8" ht="13">
      <c r="H318" s="226"/>
    </row>
    <row r="319" spans="8:8" ht="13">
      <c r="H319" s="226"/>
    </row>
    <row r="320" spans="8:8" ht="13">
      <c r="H320" s="226"/>
    </row>
    <row r="321" spans="8:8" ht="13">
      <c r="H321" s="226"/>
    </row>
    <row r="322" spans="8:8" ht="13">
      <c r="H322" s="226"/>
    </row>
    <row r="323" spans="8:8" ht="13">
      <c r="H323" s="226"/>
    </row>
    <row r="324" spans="8:8" ht="13">
      <c r="H324" s="226"/>
    </row>
    <row r="325" spans="8:8" ht="13">
      <c r="H325" s="226"/>
    </row>
    <row r="326" spans="8:8" ht="13">
      <c r="H326" s="226"/>
    </row>
    <row r="327" spans="8:8" ht="13">
      <c r="H327" s="226"/>
    </row>
    <row r="328" spans="8:8" ht="13">
      <c r="H328" s="226"/>
    </row>
    <row r="329" spans="8:8" ht="13">
      <c r="H329" s="226"/>
    </row>
    <row r="330" spans="8:8" ht="13">
      <c r="H330" s="226"/>
    </row>
    <row r="331" spans="8:8" ht="13">
      <c r="H331" s="226"/>
    </row>
    <row r="332" spans="8:8" ht="13">
      <c r="H332" s="226"/>
    </row>
    <row r="333" spans="8:8" ht="13">
      <c r="H333" s="226"/>
    </row>
    <row r="334" spans="8:8" ht="13">
      <c r="H334" s="226"/>
    </row>
    <row r="335" spans="8:8" ht="13">
      <c r="H335" s="226"/>
    </row>
    <row r="336" spans="8:8" ht="13">
      <c r="H336" s="226"/>
    </row>
    <row r="337" spans="8:8" ht="13">
      <c r="H337" s="226"/>
    </row>
    <row r="338" spans="8:8" ht="13">
      <c r="H338" s="226"/>
    </row>
    <row r="339" spans="8:8" ht="13">
      <c r="H339" s="226"/>
    </row>
    <row r="340" spans="8:8" ht="13">
      <c r="H340" s="226"/>
    </row>
    <row r="341" spans="8:8" ht="13">
      <c r="H341" s="226"/>
    </row>
    <row r="342" spans="8:8" ht="13">
      <c r="H342" s="226"/>
    </row>
    <row r="343" spans="8:8" ht="13">
      <c r="H343" s="226"/>
    </row>
    <row r="344" spans="8:8" ht="13">
      <c r="H344" s="226"/>
    </row>
    <row r="345" spans="8:8" ht="13">
      <c r="H345" s="226"/>
    </row>
    <row r="346" spans="8:8" ht="13">
      <c r="H346" s="226"/>
    </row>
    <row r="347" spans="8:8" ht="13">
      <c r="H347" s="226"/>
    </row>
    <row r="348" spans="8:8" ht="13">
      <c r="H348" s="226"/>
    </row>
    <row r="349" spans="8:8" ht="13">
      <c r="H349" s="226"/>
    </row>
    <row r="350" spans="8:8" ht="13">
      <c r="H350" s="226"/>
    </row>
    <row r="351" spans="8:8" ht="13">
      <c r="H351" s="226"/>
    </row>
    <row r="352" spans="8:8" ht="13">
      <c r="H352" s="226"/>
    </row>
    <row r="353" spans="8:8" ht="13">
      <c r="H353" s="226"/>
    </row>
    <row r="354" spans="8:8" ht="13">
      <c r="H354" s="226"/>
    </row>
    <row r="355" spans="8:8" ht="13">
      <c r="H355" s="226"/>
    </row>
    <row r="356" spans="8:8" ht="13">
      <c r="H356" s="226"/>
    </row>
    <row r="357" spans="8:8" ht="13">
      <c r="H357" s="226"/>
    </row>
    <row r="358" spans="8:8" ht="13">
      <c r="H358" s="226"/>
    </row>
    <row r="359" spans="8:8" ht="13">
      <c r="H359" s="226"/>
    </row>
    <row r="360" spans="8:8" ht="13">
      <c r="H360" s="226"/>
    </row>
    <row r="361" spans="8:8" ht="13">
      <c r="H361" s="226"/>
    </row>
    <row r="362" spans="8:8" ht="13">
      <c r="H362" s="226"/>
    </row>
    <row r="363" spans="8:8" ht="13">
      <c r="H363" s="226"/>
    </row>
    <row r="364" spans="8:8" ht="13">
      <c r="H364" s="226"/>
    </row>
    <row r="365" spans="8:8" ht="13">
      <c r="H365" s="226"/>
    </row>
    <row r="366" spans="8:8" ht="13">
      <c r="H366" s="226"/>
    </row>
    <row r="367" spans="8:8" ht="13">
      <c r="H367" s="226"/>
    </row>
    <row r="368" spans="8:8" ht="13">
      <c r="H368" s="226"/>
    </row>
    <row r="369" spans="8:8" ht="13">
      <c r="H369" s="226"/>
    </row>
    <row r="370" spans="8:8" ht="13">
      <c r="H370" s="226"/>
    </row>
    <row r="371" spans="8:8" ht="13">
      <c r="H371" s="226"/>
    </row>
    <row r="372" spans="8:8" ht="13">
      <c r="H372" s="226"/>
    </row>
    <row r="373" spans="8:8" ht="13">
      <c r="H373" s="226"/>
    </row>
    <row r="374" spans="8:8" ht="13">
      <c r="H374" s="226"/>
    </row>
    <row r="375" spans="8:8" ht="13">
      <c r="H375" s="226"/>
    </row>
    <row r="376" spans="8:8" ht="13">
      <c r="H376" s="226"/>
    </row>
    <row r="377" spans="8:8" ht="13">
      <c r="H377" s="226"/>
    </row>
    <row r="378" spans="8:8" ht="13">
      <c r="H378" s="226"/>
    </row>
    <row r="379" spans="8:8" ht="13">
      <c r="H379" s="226"/>
    </row>
    <row r="380" spans="8:8" ht="13">
      <c r="H380" s="226"/>
    </row>
    <row r="381" spans="8:8" ht="13">
      <c r="H381" s="226"/>
    </row>
    <row r="382" spans="8:8" ht="13">
      <c r="H382" s="226"/>
    </row>
    <row r="383" spans="8:8" ht="13">
      <c r="H383" s="226"/>
    </row>
    <row r="384" spans="8:8" ht="13">
      <c r="H384" s="226"/>
    </row>
    <row r="385" spans="8:8" ht="13">
      <c r="H385" s="226"/>
    </row>
    <row r="386" spans="8:8" ht="13">
      <c r="H386" s="226"/>
    </row>
    <row r="387" spans="8:8" ht="13">
      <c r="H387" s="226"/>
    </row>
    <row r="388" spans="8:8" ht="13">
      <c r="H388" s="226"/>
    </row>
    <row r="389" spans="8:8" ht="13">
      <c r="H389" s="226"/>
    </row>
    <row r="390" spans="8:8" ht="13">
      <c r="H390" s="226"/>
    </row>
    <row r="391" spans="8:8" ht="13">
      <c r="H391" s="226"/>
    </row>
    <row r="392" spans="8:8" ht="13">
      <c r="H392" s="226"/>
    </row>
    <row r="393" spans="8:8" ht="13">
      <c r="H393" s="226"/>
    </row>
    <row r="394" spans="8:8" ht="13">
      <c r="H394" s="226"/>
    </row>
    <row r="395" spans="8:8" ht="13">
      <c r="H395" s="226"/>
    </row>
    <row r="396" spans="8:8" ht="13">
      <c r="H396" s="226"/>
    </row>
    <row r="397" spans="8:8" ht="13">
      <c r="H397" s="226"/>
    </row>
    <row r="398" spans="8:8" ht="13">
      <c r="H398" s="226"/>
    </row>
    <row r="399" spans="8:8" ht="13">
      <c r="H399" s="226"/>
    </row>
    <row r="400" spans="8:8" ht="13">
      <c r="H400" s="226"/>
    </row>
    <row r="401" spans="8:8" ht="13">
      <c r="H401" s="226"/>
    </row>
    <row r="402" spans="8:8" ht="13">
      <c r="H402" s="226"/>
    </row>
    <row r="403" spans="8:8" ht="13">
      <c r="H403" s="226"/>
    </row>
    <row r="404" spans="8:8" ht="13">
      <c r="H404" s="226"/>
    </row>
    <row r="405" spans="8:8" ht="13">
      <c r="H405" s="226"/>
    </row>
    <row r="406" spans="8:8" ht="13">
      <c r="H406" s="226"/>
    </row>
    <row r="407" spans="8:8" ht="13">
      <c r="H407" s="226"/>
    </row>
    <row r="408" spans="8:8" ht="13">
      <c r="H408" s="226"/>
    </row>
    <row r="409" spans="8:8" ht="13">
      <c r="H409" s="226"/>
    </row>
    <row r="410" spans="8:8" ht="13">
      <c r="H410" s="226"/>
    </row>
    <row r="411" spans="8:8" ht="13">
      <c r="H411" s="226"/>
    </row>
    <row r="412" spans="8:8" ht="13">
      <c r="H412" s="226"/>
    </row>
    <row r="413" spans="8:8" ht="13">
      <c r="H413" s="226"/>
    </row>
    <row r="414" spans="8:8" ht="13">
      <c r="H414" s="226"/>
    </row>
    <row r="415" spans="8:8" ht="13">
      <c r="H415" s="226"/>
    </row>
    <row r="416" spans="8:8" ht="13">
      <c r="H416" s="226"/>
    </row>
    <row r="417" spans="8:8" ht="13">
      <c r="H417" s="226"/>
    </row>
    <row r="418" spans="8:8" ht="13">
      <c r="H418" s="226"/>
    </row>
    <row r="419" spans="8:8" ht="13">
      <c r="H419" s="226"/>
    </row>
    <row r="420" spans="8:8" ht="13">
      <c r="H420" s="226"/>
    </row>
    <row r="421" spans="8:8" ht="13">
      <c r="H421" s="226"/>
    </row>
    <row r="422" spans="8:8" ht="13">
      <c r="H422" s="226"/>
    </row>
    <row r="423" spans="8:8" ht="13">
      <c r="H423" s="226"/>
    </row>
    <row r="424" spans="8:8" ht="13">
      <c r="H424" s="226"/>
    </row>
    <row r="425" spans="8:8" ht="13">
      <c r="H425" s="226"/>
    </row>
    <row r="426" spans="8:8" ht="13">
      <c r="H426" s="226"/>
    </row>
    <row r="427" spans="8:8" ht="13">
      <c r="H427" s="226"/>
    </row>
    <row r="428" spans="8:8" ht="13">
      <c r="H428" s="226"/>
    </row>
    <row r="429" spans="8:8" ht="13">
      <c r="H429" s="226"/>
    </row>
    <row r="430" spans="8:8" ht="13">
      <c r="H430" s="226"/>
    </row>
    <row r="431" spans="8:8" ht="13">
      <c r="H431" s="226"/>
    </row>
    <row r="432" spans="8:8" ht="13">
      <c r="H432" s="226"/>
    </row>
    <row r="433" spans="8:8" ht="13">
      <c r="H433" s="226"/>
    </row>
    <row r="434" spans="8:8" ht="13">
      <c r="H434" s="226"/>
    </row>
    <row r="435" spans="8:8" ht="13">
      <c r="H435" s="226"/>
    </row>
    <row r="436" spans="8:8" ht="13">
      <c r="H436" s="226"/>
    </row>
    <row r="437" spans="8:8" ht="13">
      <c r="H437" s="226"/>
    </row>
    <row r="438" spans="8:8" ht="13">
      <c r="H438" s="226"/>
    </row>
    <row r="439" spans="8:8" ht="13">
      <c r="H439" s="226"/>
    </row>
    <row r="440" spans="8:8" ht="13">
      <c r="H440" s="226"/>
    </row>
    <row r="441" spans="8:8" ht="13">
      <c r="H441" s="226"/>
    </row>
    <row r="442" spans="8:8" ht="13">
      <c r="H442" s="226"/>
    </row>
    <row r="443" spans="8:8" ht="13">
      <c r="H443" s="226"/>
    </row>
    <row r="444" spans="8:8" ht="13">
      <c r="H444" s="226"/>
    </row>
    <row r="445" spans="8:8" ht="13">
      <c r="H445" s="226"/>
    </row>
    <row r="446" spans="8:8" ht="13">
      <c r="H446" s="226"/>
    </row>
    <row r="447" spans="8:8" ht="13">
      <c r="H447" s="226"/>
    </row>
    <row r="448" spans="8:8" ht="13">
      <c r="H448" s="226"/>
    </row>
    <row r="449" spans="8:8" ht="13">
      <c r="H449" s="226"/>
    </row>
    <row r="450" spans="8:8" ht="13">
      <c r="H450" s="226"/>
    </row>
    <row r="451" spans="8:8" ht="13">
      <c r="H451" s="226"/>
    </row>
    <row r="452" spans="8:8" ht="13">
      <c r="H452" s="226"/>
    </row>
    <row r="453" spans="8:8" ht="13">
      <c r="H453" s="226"/>
    </row>
    <row r="454" spans="8:8" ht="13">
      <c r="H454" s="226"/>
    </row>
    <row r="455" spans="8:8" ht="13">
      <c r="H455" s="226"/>
    </row>
    <row r="456" spans="8:8" ht="13">
      <c r="H456" s="226"/>
    </row>
    <row r="457" spans="8:8" ht="13">
      <c r="H457" s="226"/>
    </row>
    <row r="458" spans="8:8" ht="13">
      <c r="H458" s="226"/>
    </row>
    <row r="459" spans="8:8" ht="13">
      <c r="H459" s="226"/>
    </row>
    <row r="460" spans="8:8" ht="13">
      <c r="H460" s="226"/>
    </row>
    <row r="461" spans="8:8" ht="13">
      <c r="H461" s="226"/>
    </row>
    <row r="462" spans="8:8" ht="13">
      <c r="H462" s="226"/>
    </row>
    <row r="463" spans="8:8" ht="13">
      <c r="H463" s="226"/>
    </row>
    <row r="464" spans="8:8" ht="13">
      <c r="H464" s="226"/>
    </row>
    <row r="465" spans="8:8" ht="13">
      <c r="H465" s="226"/>
    </row>
    <row r="466" spans="8:8" ht="13">
      <c r="H466" s="226"/>
    </row>
    <row r="467" spans="8:8" ht="13">
      <c r="H467" s="226"/>
    </row>
    <row r="468" spans="8:8" ht="13">
      <c r="H468" s="226"/>
    </row>
    <row r="469" spans="8:8" ht="13">
      <c r="H469" s="226"/>
    </row>
    <row r="470" spans="8:8" ht="13">
      <c r="H470" s="226"/>
    </row>
    <row r="471" spans="8:8" ht="13">
      <c r="H471" s="226"/>
    </row>
    <row r="472" spans="8:8" ht="13">
      <c r="H472" s="226"/>
    </row>
    <row r="473" spans="8:8" ht="13">
      <c r="H473" s="226"/>
    </row>
    <row r="474" spans="8:8" ht="13">
      <c r="H474" s="226"/>
    </row>
    <row r="475" spans="8:8" ht="13">
      <c r="H475" s="226"/>
    </row>
    <row r="476" spans="8:8" ht="13">
      <c r="H476" s="226"/>
    </row>
    <row r="477" spans="8:8" ht="13">
      <c r="H477" s="226"/>
    </row>
    <row r="478" spans="8:8" ht="13">
      <c r="H478" s="226"/>
    </row>
    <row r="479" spans="8:8" ht="13">
      <c r="H479" s="226"/>
    </row>
    <row r="480" spans="8:8" ht="13">
      <c r="H480" s="226"/>
    </row>
    <row r="481" spans="8:8" ht="13">
      <c r="H481" s="226"/>
    </row>
    <row r="482" spans="8:8" ht="13">
      <c r="H482" s="226"/>
    </row>
    <row r="483" spans="8:8" ht="13">
      <c r="H483" s="226"/>
    </row>
    <row r="484" spans="8:8" ht="13">
      <c r="H484" s="226"/>
    </row>
    <row r="485" spans="8:8" ht="13">
      <c r="H485" s="226"/>
    </row>
    <row r="486" spans="8:8" ht="13">
      <c r="H486" s="226"/>
    </row>
    <row r="487" spans="8:8" ht="13">
      <c r="H487" s="226"/>
    </row>
    <row r="488" spans="8:8" ht="13">
      <c r="H488" s="226"/>
    </row>
    <row r="489" spans="8:8" ht="13">
      <c r="H489" s="226"/>
    </row>
    <row r="490" spans="8:8" ht="13">
      <c r="H490" s="226"/>
    </row>
    <row r="491" spans="8:8" ht="13">
      <c r="H491" s="226"/>
    </row>
    <row r="492" spans="8:8" ht="13">
      <c r="H492" s="226"/>
    </row>
    <row r="493" spans="8:8" ht="13">
      <c r="H493" s="226"/>
    </row>
    <row r="494" spans="8:8" ht="13">
      <c r="H494" s="226"/>
    </row>
    <row r="495" spans="8:8" ht="13">
      <c r="H495" s="226"/>
    </row>
    <row r="496" spans="8:8" ht="13">
      <c r="H496" s="226"/>
    </row>
    <row r="497" spans="8:8" ht="13">
      <c r="H497" s="226"/>
    </row>
    <row r="498" spans="8:8" ht="13">
      <c r="H498" s="226"/>
    </row>
    <row r="499" spans="8:8" ht="13">
      <c r="H499" s="226"/>
    </row>
    <row r="500" spans="8:8" ht="13">
      <c r="H500" s="226"/>
    </row>
    <row r="501" spans="8:8" ht="13">
      <c r="H501" s="226"/>
    </row>
    <row r="502" spans="8:8" ht="13">
      <c r="H502" s="226"/>
    </row>
    <row r="503" spans="8:8" ht="13">
      <c r="H503" s="226"/>
    </row>
    <row r="504" spans="8:8" ht="13">
      <c r="H504" s="226"/>
    </row>
    <row r="505" spans="8:8" ht="13">
      <c r="H505" s="226"/>
    </row>
    <row r="506" spans="8:8" ht="13">
      <c r="H506" s="226"/>
    </row>
    <row r="507" spans="8:8" ht="13">
      <c r="H507" s="226"/>
    </row>
    <row r="508" spans="8:8" ht="13">
      <c r="H508" s="226"/>
    </row>
    <row r="509" spans="8:8" ht="13">
      <c r="H509" s="226"/>
    </row>
    <row r="510" spans="8:8" ht="13">
      <c r="H510" s="226"/>
    </row>
    <row r="511" spans="8:8" ht="13">
      <c r="H511" s="226"/>
    </row>
    <row r="512" spans="8:8" ht="13">
      <c r="H512" s="226"/>
    </row>
    <row r="513" spans="8:8" ht="13">
      <c r="H513" s="226"/>
    </row>
    <row r="514" spans="8:8" ht="13">
      <c r="H514" s="226"/>
    </row>
    <row r="515" spans="8:8" ht="13">
      <c r="H515" s="226"/>
    </row>
    <row r="516" spans="8:8" ht="13">
      <c r="H516" s="226"/>
    </row>
    <row r="517" spans="8:8" ht="13">
      <c r="H517" s="226"/>
    </row>
    <row r="518" spans="8:8" ht="13">
      <c r="H518" s="226"/>
    </row>
    <row r="519" spans="8:8" ht="13">
      <c r="H519" s="226"/>
    </row>
    <row r="520" spans="8:8" ht="13">
      <c r="H520" s="226"/>
    </row>
    <row r="521" spans="8:8" ht="13">
      <c r="H521" s="226"/>
    </row>
    <row r="522" spans="8:8" ht="13">
      <c r="H522" s="226"/>
    </row>
    <row r="523" spans="8:8" ht="13">
      <c r="H523" s="226"/>
    </row>
    <row r="524" spans="8:8" ht="13">
      <c r="H524" s="226"/>
    </row>
    <row r="525" spans="8:8" ht="13">
      <c r="H525" s="226"/>
    </row>
    <row r="526" spans="8:8" ht="13">
      <c r="H526" s="226"/>
    </row>
    <row r="527" spans="8:8" ht="13">
      <c r="H527" s="226"/>
    </row>
    <row r="528" spans="8:8" ht="13">
      <c r="H528" s="226"/>
    </row>
    <row r="529" spans="8:8" ht="13">
      <c r="H529" s="226"/>
    </row>
    <row r="530" spans="8:8" ht="13">
      <c r="H530" s="226"/>
    </row>
    <row r="531" spans="8:8" ht="13">
      <c r="H531" s="226"/>
    </row>
    <row r="532" spans="8:8" ht="13">
      <c r="H532" s="226"/>
    </row>
    <row r="533" spans="8:8" ht="13">
      <c r="H533" s="226"/>
    </row>
    <row r="534" spans="8:8" ht="13">
      <c r="H534" s="226"/>
    </row>
    <row r="535" spans="8:8" ht="13">
      <c r="H535" s="226"/>
    </row>
    <row r="536" spans="8:8" ht="13">
      <c r="H536" s="226"/>
    </row>
    <row r="537" spans="8:8" ht="13">
      <c r="H537" s="226"/>
    </row>
    <row r="538" spans="8:8" ht="13">
      <c r="H538" s="226"/>
    </row>
    <row r="539" spans="8:8" ht="13">
      <c r="H539" s="226"/>
    </row>
    <row r="540" spans="8:8" ht="13">
      <c r="H540" s="226"/>
    </row>
    <row r="541" spans="8:8" ht="13">
      <c r="H541" s="226"/>
    </row>
    <row r="542" spans="8:8" ht="13">
      <c r="H542" s="226"/>
    </row>
    <row r="543" spans="8:8" ht="13">
      <c r="H543" s="226"/>
    </row>
    <row r="544" spans="8:8" ht="13">
      <c r="H544" s="226"/>
    </row>
    <row r="545" spans="8:8" ht="13">
      <c r="H545" s="226"/>
    </row>
    <row r="546" spans="8:8" ht="13">
      <c r="H546" s="226"/>
    </row>
    <row r="547" spans="8:8" ht="13">
      <c r="H547" s="226"/>
    </row>
    <row r="548" spans="8:8" ht="13">
      <c r="H548" s="226"/>
    </row>
    <row r="549" spans="8:8" ht="13">
      <c r="H549" s="226"/>
    </row>
    <row r="550" spans="8:8" ht="13">
      <c r="H550" s="226"/>
    </row>
    <row r="551" spans="8:8" ht="13">
      <c r="H551" s="226"/>
    </row>
    <row r="552" spans="8:8" ht="13">
      <c r="H552" s="226"/>
    </row>
    <row r="553" spans="8:8" ht="13">
      <c r="H553" s="226"/>
    </row>
    <row r="554" spans="8:8" ht="13">
      <c r="H554" s="226"/>
    </row>
    <row r="555" spans="8:8" ht="13">
      <c r="H555" s="226"/>
    </row>
    <row r="556" spans="8:8" ht="13">
      <c r="H556" s="226"/>
    </row>
    <row r="557" spans="8:8" ht="13">
      <c r="H557" s="226"/>
    </row>
    <row r="558" spans="8:8" ht="13">
      <c r="H558" s="226"/>
    </row>
    <row r="559" spans="8:8" ht="13">
      <c r="H559" s="226"/>
    </row>
    <row r="560" spans="8:8" ht="13">
      <c r="H560" s="226"/>
    </row>
    <row r="561" spans="8:8" ht="13">
      <c r="H561" s="226"/>
    </row>
    <row r="562" spans="8:8" ht="13">
      <c r="H562" s="226"/>
    </row>
    <row r="563" spans="8:8" ht="13">
      <c r="H563" s="226"/>
    </row>
    <row r="564" spans="8:8" ht="13">
      <c r="H564" s="226"/>
    </row>
    <row r="565" spans="8:8" ht="13">
      <c r="H565" s="226"/>
    </row>
    <row r="566" spans="8:8" ht="13">
      <c r="H566" s="226"/>
    </row>
    <row r="567" spans="8:8" ht="13">
      <c r="H567" s="226"/>
    </row>
    <row r="568" spans="8:8" ht="13">
      <c r="H568" s="226"/>
    </row>
    <row r="569" spans="8:8" ht="13">
      <c r="H569" s="226"/>
    </row>
    <row r="570" spans="8:8" ht="13">
      <c r="H570" s="226"/>
    </row>
    <row r="571" spans="8:8" ht="13">
      <c r="H571" s="226"/>
    </row>
    <row r="572" spans="8:8" ht="13">
      <c r="H572" s="226"/>
    </row>
    <row r="573" spans="8:8" ht="13">
      <c r="H573" s="226"/>
    </row>
    <row r="574" spans="8:8" ht="13">
      <c r="H574" s="226"/>
    </row>
    <row r="575" spans="8:8" ht="13">
      <c r="H575" s="226"/>
    </row>
    <row r="576" spans="8:8" ht="13">
      <c r="H576" s="226"/>
    </row>
    <row r="577" spans="8:8" ht="13">
      <c r="H577" s="226"/>
    </row>
    <row r="578" spans="8:8" ht="13">
      <c r="H578" s="226"/>
    </row>
    <row r="579" spans="8:8" ht="13">
      <c r="H579" s="226"/>
    </row>
    <row r="580" spans="8:8" ht="13">
      <c r="H580" s="226"/>
    </row>
    <row r="581" spans="8:8" ht="13">
      <c r="H581" s="226"/>
    </row>
    <row r="582" spans="8:8" ht="13">
      <c r="H582" s="226"/>
    </row>
    <row r="583" spans="8:8" ht="13">
      <c r="H583" s="226"/>
    </row>
    <row r="584" spans="8:8" ht="13">
      <c r="H584" s="226"/>
    </row>
    <row r="585" spans="8:8" ht="13">
      <c r="H585" s="226"/>
    </row>
    <row r="586" spans="8:8" ht="13">
      <c r="H586" s="226"/>
    </row>
    <row r="587" spans="8:8" ht="13">
      <c r="H587" s="226"/>
    </row>
    <row r="588" spans="8:8" ht="13">
      <c r="H588" s="226"/>
    </row>
    <row r="589" spans="8:8" ht="13">
      <c r="H589" s="226"/>
    </row>
    <row r="590" spans="8:8" ht="13">
      <c r="H590" s="226"/>
    </row>
    <row r="591" spans="8:8" ht="13">
      <c r="H591" s="226"/>
    </row>
    <row r="592" spans="8:8" ht="13">
      <c r="H592" s="226"/>
    </row>
    <row r="593" spans="8:8" ht="13">
      <c r="H593" s="226"/>
    </row>
    <row r="594" spans="8:8" ht="13">
      <c r="H594" s="226"/>
    </row>
    <row r="595" spans="8:8" ht="13">
      <c r="H595" s="226"/>
    </row>
    <row r="596" spans="8:8" ht="13">
      <c r="H596" s="226"/>
    </row>
    <row r="597" spans="8:8" ht="13">
      <c r="H597" s="226"/>
    </row>
    <row r="598" spans="8:8" ht="13">
      <c r="H598" s="226"/>
    </row>
    <row r="599" spans="8:8" ht="13">
      <c r="H599" s="226"/>
    </row>
    <row r="600" spans="8:8" ht="13">
      <c r="H600" s="226"/>
    </row>
    <row r="601" spans="8:8" ht="13">
      <c r="H601" s="226"/>
    </row>
    <row r="602" spans="8:8" ht="13">
      <c r="H602" s="226"/>
    </row>
    <row r="603" spans="8:8" ht="13">
      <c r="H603" s="226"/>
    </row>
    <row r="604" spans="8:8" ht="13">
      <c r="H604" s="226"/>
    </row>
    <row r="605" spans="8:8" ht="13">
      <c r="H605" s="226"/>
    </row>
    <row r="606" spans="8:8" ht="13">
      <c r="H606" s="226"/>
    </row>
    <row r="607" spans="8:8" ht="13">
      <c r="H607" s="226"/>
    </row>
    <row r="608" spans="8:8" ht="13">
      <c r="H608" s="226"/>
    </row>
    <row r="609" spans="8:8" ht="13">
      <c r="H609" s="226"/>
    </row>
    <row r="610" spans="8:8" ht="13">
      <c r="H610" s="226"/>
    </row>
    <row r="611" spans="8:8" ht="13">
      <c r="H611" s="226"/>
    </row>
    <row r="612" spans="8:8" ht="13">
      <c r="H612" s="226"/>
    </row>
    <row r="613" spans="8:8" ht="13">
      <c r="H613" s="226"/>
    </row>
    <row r="614" spans="8:8" ht="13">
      <c r="H614" s="226"/>
    </row>
    <row r="615" spans="8:8" ht="13">
      <c r="H615" s="226"/>
    </row>
    <row r="616" spans="8:8" ht="13">
      <c r="H616" s="226"/>
    </row>
    <row r="617" spans="8:8" ht="13">
      <c r="H617" s="226"/>
    </row>
    <row r="618" spans="8:8" ht="13">
      <c r="H618" s="226"/>
    </row>
    <row r="619" spans="8:8" ht="13">
      <c r="H619" s="226"/>
    </row>
    <row r="620" spans="8:8" ht="13">
      <c r="H620" s="226"/>
    </row>
    <row r="621" spans="8:8" ht="13">
      <c r="H621" s="226"/>
    </row>
    <row r="622" spans="8:8" ht="13">
      <c r="H622" s="226"/>
    </row>
    <row r="623" spans="8:8" ht="13">
      <c r="H623" s="226"/>
    </row>
    <row r="624" spans="8:8" ht="13">
      <c r="H624" s="226"/>
    </row>
    <row r="625" spans="8:8" ht="13">
      <c r="H625" s="226"/>
    </row>
    <row r="626" spans="8:8" ht="13">
      <c r="H626" s="226"/>
    </row>
    <row r="627" spans="8:8" ht="13">
      <c r="H627" s="226"/>
    </row>
    <row r="628" spans="8:8" ht="13">
      <c r="H628" s="226"/>
    </row>
    <row r="629" spans="8:8" ht="13">
      <c r="H629" s="226"/>
    </row>
    <row r="630" spans="8:8" ht="13">
      <c r="H630" s="226"/>
    </row>
    <row r="631" spans="8:8" ht="13">
      <c r="H631" s="226"/>
    </row>
    <row r="632" spans="8:8" ht="13">
      <c r="H632" s="226"/>
    </row>
    <row r="633" spans="8:8" ht="13">
      <c r="H633" s="226"/>
    </row>
    <row r="634" spans="8:8" ht="13">
      <c r="H634" s="226"/>
    </row>
    <row r="635" spans="8:8" ht="13">
      <c r="H635" s="226"/>
    </row>
    <row r="636" spans="8:8" ht="13">
      <c r="H636" s="226"/>
    </row>
    <row r="637" spans="8:8" ht="13">
      <c r="H637" s="226"/>
    </row>
    <row r="638" spans="8:8" ht="13">
      <c r="H638" s="226"/>
    </row>
    <row r="639" spans="8:8" ht="13">
      <c r="H639" s="226"/>
    </row>
    <row r="640" spans="8:8" ht="13">
      <c r="H640" s="226"/>
    </row>
    <row r="641" spans="8:8" ht="13">
      <c r="H641" s="226"/>
    </row>
    <row r="642" spans="8:8" ht="13">
      <c r="H642" s="226"/>
    </row>
    <row r="643" spans="8:8" ht="13">
      <c r="H643" s="226"/>
    </row>
    <row r="644" spans="8:8" ht="13">
      <c r="H644" s="226"/>
    </row>
    <row r="645" spans="8:8" ht="13">
      <c r="H645" s="226"/>
    </row>
    <row r="646" spans="8:8" ht="13">
      <c r="H646" s="226"/>
    </row>
    <row r="647" spans="8:8" ht="13">
      <c r="H647" s="226"/>
    </row>
    <row r="648" spans="8:8" ht="13">
      <c r="H648" s="226"/>
    </row>
    <row r="649" spans="8:8" ht="13">
      <c r="H649" s="226"/>
    </row>
    <row r="650" spans="8:8" ht="13">
      <c r="H650" s="226"/>
    </row>
    <row r="651" spans="8:8" ht="13">
      <c r="H651" s="226"/>
    </row>
    <row r="652" spans="8:8" ht="13">
      <c r="H652" s="226"/>
    </row>
    <row r="653" spans="8:8" ht="13">
      <c r="H653" s="226"/>
    </row>
    <row r="654" spans="8:8" ht="13">
      <c r="H654" s="226"/>
    </row>
    <row r="655" spans="8:8" ht="13">
      <c r="H655" s="226"/>
    </row>
    <row r="656" spans="8:8" ht="13">
      <c r="H656" s="226"/>
    </row>
    <row r="657" spans="8:8" ht="13">
      <c r="H657" s="226"/>
    </row>
    <row r="658" spans="8:8" ht="13">
      <c r="H658" s="226"/>
    </row>
    <row r="659" spans="8:8" ht="13">
      <c r="H659" s="226"/>
    </row>
    <row r="660" spans="8:8" ht="13">
      <c r="H660" s="226"/>
    </row>
    <row r="661" spans="8:8" ht="13">
      <c r="H661" s="226"/>
    </row>
    <row r="662" spans="8:8" ht="13">
      <c r="H662" s="226"/>
    </row>
    <row r="663" spans="8:8" ht="13">
      <c r="H663" s="226"/>
    </row>
    <row r="664" spans="8:8" ht="13">
      <c r="H664" s="226"/>
    </row>
    <row r="665" spans="8:8" ht="13">
      <c r="H665" s="226"/>
    </row>
    <row r="666" spans="8:8" ht="13">
      <c r="H666" s="226"/>
    </row>
    <row r="667" spans="8:8" ht="13">
      <c r="H667" s="226"/>
    </row>
    <row r="668" spans="8:8" ht="13">
      <c r="H668" s="226"/>
    </row>
    <row r="669" spans="8:8" ht="13">
      <c r="H669" s="226"/>
    </row>
    <row r="670" spans="8:8" ht="13">
      <c r="H670" s="226"/>
    </row>
    <row r="671" spans="8:8" ht="13">
      <c r="H671" s="226"/>
    </row>
    <row r="672" spans="8:8" ht="13">
      <c r="H672" s="226"/>
    </row>
    <row r="673" spans="8:8" ht="13">
      <c r="H673" s="226"/>
    </row>
    <row r="674" spans="8:8" ht="13">
      <c r="H674" s="226"/>
    </row>
    <row r="675" spans="8:8" ht="13">
      <c r="H675" s="226"/>
    </row>
    <row r="676" spans="8:8" ht="13">
      <c r="H676" s="226"/>
    </row>
    <row r="677" spans="8:8" ht="13">
      <c r="H677" s="226"/>
    </row>
    <row r="678" spans="8:8" ht="13">
      <c r="H678" s="226"/>
    </row>
    <row r="679" spans="8:8" ht="13">
      <c r="H679" s="226"/>
    </row>
    <row r="680" spans="8:8" ht="13">
      <c r="H680" s="226"/>
    </row>
    <row r="681" spans="8:8" ht="13">
      <c r="H681" s="226"/>
    </row>
    <row r="682" spans="8:8" ht="13">
      <c r="H682" s="226"/>
    </row>
    <row r="683" spans="8:8" ht="13">
      <c r="H683" s="226"/>
    </row>
    <row r="684" spans="8:8" ht="13">
      <c r="H684" s="226"/>
    </row>
    <row r="685" spans="8:8" ht="13">
      <c r="H685" s="226"/>
    </row>
    <row r="686" spans="8:8" ht="13">
      <c r="H686" s="226"/>
    </row>
    <row r="687" spans="8:8" ht="13">
      <c r="H687" s="226"/>
    </row>
    <row r="688" spans="8:8" ht="13">
      <c r="H688" s="226"/>
    </row>
    <row r="689" spans="8:8" ht="13">
      <c r="H689" s="226"/>
    </row>
    <row r="690" spans="8:8" ht="13">
      <c r="H690" s="226"/>
    </row>
    <row r="691" spans="8:8" ht="13">
      <c r="H691" s="226"/>
    </row>
    <row r="692" spans="8:8" ht="13">
      <c r="H692" s="226"/>
    </row>
    <row r="693" spans="8:8" ht="13">
      <c r="H693" s="226"/>
    </row>
    <row r="694" spans="8:8" ht="13">
      <c r="H694" s="226"/>
    </row>
    <row r="695" spans="8:8" ht="13">
      <c r="H695" s="226"/>
    </row>
    <row r="696" spans="8:8" ht="13">
      <c r="H696" s="226"/>
    </row>
    <row r="697" spans="8:8" ht="13">
      <c r="H697" s="226"/>
    </row>
    <row r="698" spans="8:8" ht="13">
      <c r="H698" s="226"/>
    </row>
    <row r="699" spans="8:8" ht="13">
      <c r="H699" s="226"/>
    </row>
    <row r="700" spans="8:8" ht="13">
      <c r="H700" s="226"/>
    </row>
    <row r="701" spans="8:8" ht="13">
      <c r="H701" s="226"/>
    </row>
    <row r="702" spans="8:8" ht="13">
      <c r="H702" s="226"/>
    </row>
    <row r="703" spans="8:8" ht="13">
      <c r="H703" s="226"/>
    </row>
    <row r="704" spans="8:8" ht="13">
      <c r="H704" s="226"/>
    </row>
    <row r="705" spans="8:8" ht="13">
      <c r="H705" s="226"/>
    </row>
    <row r="706" spans="8:8" ht="13">
      <c r="H706" s="226"/>
    </row>
    <row r="707" spans="8:8" ht="13">
      <c r="H707" s="226"/>
    </row>
    <row r="708" spans="8:8" ht="13">
      <c r="H708" s="226"/>
    </row>
    <row r="709" spans="8:8" ht="13">
      <c r="H709" s="226"/>
    </row>
    <row r="710" spans="8:8" ht="13">
      <c r="H710" s="226"/>
    </row>
    <row r="711" spans="8:8" ht="13">
      <c r="H711" s="226"/>
    </row>
    <row r="712" spans="8:8" ht="13">
      <c r="H712" s="226"/>
    </row>
    <row r="713" spans="8:8" ht="13">
      <c r="H713" s="226"/>
    </row>
    <row r="714" spans="8:8" ht="13">
      <c r="H714" s="226"/>
    </row>
    <row r="715" spans="8:8" ht="13">
      <c r="H715" s="226"/>
    </row>
    <row r="716" spans="8:8" ht="13">
      <c r="H716" s="226"/>
    </row>
    <row r="717" spans="8:8" ht="13">
      <c r="H717" s="226"/>
    </row>
    <row r="718" spans="8:8" ht="13">
      <c r="H718" s="226"/>
    </row>
    <row r="719" spans="8:8" ht="13">
      <c r="H719" s="226"/>
    </row>
    <row r="720" spans="8:8" ht="13">
      <c r="H720" s="226"/>
    </row>
    <row r="721" spans="8:8" ht="13">
      <c r="H721" s="226"/>
    </row>
    <row r="722" spans="8:8" ht="13">
      <c r="H722" s="226"/>
    </row>
    <row r="723" spans="8:8" ht="13">
      <c r="H723" s="226"/>
    </row>
    <row r="724" spans="8:8" ht="13">
      <c r="H724" s="226"/>
    </row>
    <row r="725" spans="8:8" ht="13">
      <c r="H725" s="226"/>
    </row>
    <row r="726" spans="8:8" ht="13">
      <c r="H726" s="226"/>
    </row>
    <row r="727" spans="8:8" ht="13">
      <c r="H727" s="226"/>
    </row>
    <row r="728" spans="8:8" ht="13">
      <c r="H728" s="226"/>
    </row>
    <row r="729" spans="8:8" ht="13">
      <c r="H729" s="226"/>
    </row>
    <row r="730" spans="8:8" ht="13">
      <c r="H730" s="226"/>
    </row>
    <row r="731" spans="8:8" ht="13">
      <c r="H731" s="226"/>
    </row>
    <row r="732" spans="8:8" ht="13">
      <c r="H732" s="226"/>
    </row>
    <row r="733" spans="8:8" ht="13">
      <c r="H733" s="226"/>
    </row>
    <row r="734" spans="8:8" ht="13">
      <c r="H734" s="226"/>
    </row>
    <row r="735" spans="8:8" ht="13">
      <c r="H735" s="226"/>
    </row>
    <row r="736" spans="8:8" ht="13">
      <c r="H736" s="226"/>
    </row>
    <row r="737" spans="8:8" ht="13">
      <c r="H737" s="226"/>
    </row>
    <row r="738" spans="8:8" ht="13">
      <c r="H738" s="226"/>
    </row>
    <row r="739" spans="8:8" ht="13">
      <c r="H739" s="226"/>
    </row>
    <row r="740" spans="8:8" ht="13">
      <c r="H740" s="226"/>
    </row>
    <row r="741" spans="8:8" ht="13">
      <c r="H741" s="226"/>
    </row>
    <row r="742" spans="8:8" ht="13">
      <c r="H742" s="226"/>
    </row>
    <row r="743" spans="8:8" ht="13">
      <c r="H743" s="226"/>
    </row>
    <row r="744" spans="8:8" ht="13">
      <c r="H744" s="226"/>
    </row>
    <row r="745" spans="8:8" ht="13">
      <c r="H745" s="226"/>
    </row>
    <row r="746" spans="8:8" ht="13">
      <c r="H746" s="226"/>
    </row>
    <row r="747" spans="8:8" ht="13">
      <c r="H747" s="226"/>
    </row>
    <row r="748" spans="8:8" ht="13">
      <c r="H748" s="226"/>
    </row>
    <row r="749" spans="8:8" ht="13">
      <c r="H749" s="226"/>
    </row>
    <row r="750" spans="8:8" ht="13">
      <c r="H750" s="226"/>
    </row>
    <row r="751" spans="8:8" ht="13">
      <c r="H751" s="226"/>
    </row>
    <row r="752" spans="8:8" ht="13">
      <c r="H752" s="226"/>
    </row>
    <row r="753" spans="8:8" ht="13">
      <c r="H753" s="226"/>
    </row>
    <row r="754" spans="8:8" ht="13">
      <c r="H754" s="226"/>
    </row>
    <row r="755" spans="8:8" ht="13">
      <c r="H755" s="226"/>
    </row>
    <row r="756" spans="8:8" ht="13">
      <c r="H756" s="226"/>
    </row>
    <row r="757" spans="8:8" ht="13">
      <c r="H757" s="226"/>
    </row>
    <row r="758" spans="8:8" ht="13">
      <c r="H758" s="226"/>
    </row>
    <row r="759" spans="8:8" ht="13">
      <c r="H759" s="226"/>
    </row>
    <row r="760" spans="8:8" ht="13">
      <c r="H760" s="226"/>
    </row>
    <row r="761" spans="8:8" ht="13">
      <c r="H761" s="226"/>
    </row>
    <row r="762" spans="8:8" ht="13">
      <c r="H762" s="226"/>
    </row>
    <row r="763" spans="8:8" ht="13">
      <c r="H763" s="226"/>
    </row>
    <row r="764" spans="8:8" ht="13">
      <c r="H764" s="226"/>
    </row>
    <row r="765" spans="8:8" ht="13">
      <c r="H765" s="226"/>
    </row>
    <row r="766" spans="8:8" ht="13">
      <c r="H766" s="226"/>
    </row>
    <row r="767" spans="8:8" ht="13">
      <c r="H767" s="226"/>
    </row>
    <row r="768" spans="8:8" ht="13">
      <c r="H768" s="226"/>
    </row>
    <row r="769" spans="8:8" ht="13">
      <c r="H769" s="226"/>
    </row>
    <row r="770" spans="8:8" ht="13">
      <c r="H770" s="226"/>
    </row>
    <row r="771" spans="8:8" ht="13">
      <c r="H771" s="226"/>
    </row>
    <row r="772" spans="8:8" ht="13">
      <c r="H772" s="226"/>
    </row>
    <row r="773" spans="8:8" ht="13">
      <c r="H773" s="226"/>
    </row>
    <row r="774" spans="8:8" ht="13">
      <c r="H774" s="226"/>
    </row>
    <row r="775" spans="8:8" ht="13">
      <c r="H775" s="226"/>
    </row>
    <row r="776" spans="8:8" ht="13">
      <c r="H776" s="226"/>
    </row>
    <row r="777" spans="8:8" ht="13">
      <c r="H777" s="226"/>
    </row>
    <row r="778" spans="8:8" ht="13">
      <c r="H778" s="226"/>
    </row>
    <row r="779" spans="8:8" ht="13">
      <c r="H779" s="226"/>
    </row>
    <row r="780" spans="8:8" ht="13">
      <c r="H780" s="226"/>
    </row>
    <row r="781" spans="8:8" ht="13">
      <c r="H781" s="226"/>
    </row>
    <row r="782" spans="8:8" ht="13">
      <c r="H782" s="226"/>
    </row>
    <row r="783" spans="8:8" ht="13">
      <c r="H783" s="226"/>
    </row>
    <row r="784" spans="8:8" ht="13">
      <c r="H784" s="226"/>
    </row>
    <row r="785" spans="8:8" ht="13">
      <c r="H785" s="226"/>
    </row>
    <row r="786" spans="8:8" ht="13">
      <c r="H786" s="226"/>
    </row>
    <row r="787" spans="8:8" ht="13">
      <c r="H787" s="226"/>
    </row>
    <row r="788" spans="8:8" ht="13">
      <c r="H788" s="226"/>
    </row>
    <row r="789" spans="8:8" ht="13">
      <c r="H789" s="226"/>
    </row>
    <row r="790" spans="8:8" ht="13">
      <c r="H790" s="226"/>
    </row>
    <row r="791" spans="8:8" ht="13">
      <c r="H791" s="226"/>
    </row>
    <row r="792" spans="8:8" ht="13">
      <c r="H792" s="226"/>
    </row>
    <row r="793" spans="8:8" ht="13">
      <c r="H793" s="226"/>
    </row>
    <row r="794" spans="8:8" ht="13">
      <c r="H794" s="226"/>
    </row>
    <row r="795" spans="8:8" ht="13">
      <c r="H795" s="226"/>
    </row>
    <row r="796" spans="8:8" ht="13">
      <c r="H796" s="226"/>
    </row>
    <row r="797" spans="8:8" ht="13">
      <c r="H797" s="226"/>
    </row>
    <row r="798" spans="8:8" ht="13">
      <c r="H798" s="226"/>
    </row>
    <row r="799" spans="8:8" ht="13">
      <c r="H799" s="226"/>
    </row>
    <row r="800" spans="8:8" ht="13">
      <c r="H800" s="226"/>
    </row>
    <row r="801" spans="8:8" ht="13">
      <c r="H801" s="226"/>
    </row>
    <row r="802" spans="8:8" ht="13">
      <c r="H802" s="226"/>
    </row>
    <row r="803" spans="8:8" ht="13">
      <c r="H803" s="226"/>
    </row>
    <row r="804" spans="8:8" ht="13">
      <c r="H804" s="226"/>
    </row>
    <row r="805" spans="8:8" ht="13">
      <c r="H805" s="226"/>
    </row>
    <row r="806" spans="8:8" ht="13">
      <c r="H806" s="226"/>
    </row>
    <row r="807" spans="8:8" ht="13">
      <c r="H807" s="226"/>
    </row>
    <row r="808" spans="8:8" ht="13">
      <c r="H808" s="226"/>
    </row>
    <row r="809" spans="8:8" ht="13">
      <c r="H809" s="226"/>
    </row>
    <row r="810" spans="8:8" ht="13">
      <c r="H810" s="226"/>
    </row>
    <row r="811" spans="8:8" ht="13">
      <c r="H811" s="226"/>
    </row>
    <row r="812" spans="8:8" ht="13">
      <c r="H812" s="226"/>
    </row>
    <row r="813" spans="8:8" ht="13">
      <c r="H813" s="226"/>
    </row>
    <row r="814" spans="8:8" ht="13">
      <c r="H814" s="226"/>
    </row>
    <row r="815" spans="8:8" ht="13">
      <c r="H815" s="226"/>
    </row>
    <row r="816" spans="8:8" ht="13">
      <c r="H816" s="226"/>
    </row>
    <row r="817" spans="8:8" ht="13">
      <c r="H817" s="226"/>
    </row>
    <row r="818" spans="8:8" ht="13">
      <c r="H818" s="226"/>
    </row>
    <row r="819" spans="8:8" ht="13">
      <c r="H819" s="226"/>
    </row>
    <row r="820" spans="8:8" ht="13">
      <c r="H820" s="226"/>
    </row>
    <row r="821" spans="8:8" ht="13">
      <c r="H821" s="226"/>
    </row>
    <row r="822" spans="8:8" ht="13">
      <c r="H822" s="226"/>
    </row>
    <row r="823" spans="8:8" ht="13">
      <c r="H823" s="226"/>
    </row>
    <row r="824" spans="8:8" ht="13">
      <c r="H824" s="226"/>
    </row>
    <row r="825" spans="8:8" ht="13">
      <c r="H825" s="226"/>
    </row>
    <row r="826" spans="8:8" ht="13">
      <c r="H826" s="226"/>
    </row>
    <row r="827" spans="8:8" ht="13">
      <c r="H827" s="226"/>
    </row>
    <row r="828" spans="8:8" ht="13">
      <c r="H828" s="226"/>
    </row>
    <row r="829" spans="8:8" ht="13">
      <c r="H829" s="226"/>
    </row>
    <row r="830" spans="8:8" ht="13">
      <c r="H830" s="226"/>
    </row>
    <row r="831" spans="8:8" ht="13">
      <c r="H831" s="226"/>
    </row>
    <row r="832" spans="8:8" ht="13">
      <c r="H832" s="226"/>
    </row>
    <row r="833" spans="8:8" ht="13">
      <c r="H833" s="226"/>
    </row>
    <row r="834" spans="8:8" ht="13">
      <c r="H834" s="226"/>
    </row>
    <row r="835" spans="8:8" ht="13">
      <c r="H835" s="226"/>
    </row>
    <row r="836" spans="8:8" ht="13">
      <c r="H836" s="226"/>
    </row>
    <row r="837" spans="8:8" ht="13">
      <c r="H837" s="226"/>
    </row>
    <row r="838" spans="8:8" ht="13">
      <c r="H838" s="226"/>
    </row>
    <row r="839" spans="8:8" ht="13">
      <c r="H839" s="226"/>
    </row>
    <row r="840" spans="8:8" ht="13">
      <c r="H840" s="226"/>
    </row>
    <row r="841" spans="8:8" ht="13">
      <c r="H841" s="226"/>
    </row>
    <row r="842" spans="8:8" ht="13">
      <c r="H842" s="226"/>
    </row>
    <row r="843" spans="8:8" ht="13">
      <c r="H843" s="226"/>
    </row>
    <row r="844" spans="8:8" ht="13">
      <c r="H844" s="226"/>
    </row>
    <row r="845" spans="8:8" ht="13">
      <c r="H845" s="226"/>
    </row>
    <row r="846" spans="8:8" ht="13">
      <c r="H846" s="226"/>
    </row>
    <row r="847" spans="8:8" ht="13">
      <c r="H847" s="226"/>
    </row>
    <row r="848" spans="8:8" ht="13">
      <c r="H848" s="226"/>
    </row>
    <row r="849" spans="8:8" ht="13">
      <c r="H849" s="226"/>
    </row>
    <row r="850" spans="8:8" ht="13">
      <c r="H850" s="226"/>
    </row>
    <row r="851" spans="8:8" ht="13">
      <c r="H851" s="226"/>
    </row>
    <row r="852" spans="8:8" ht="13">
      <c r="H852" s="226"/>
    </row>
    <row r="853" spans="8:8" ht="13">
      <c r="H853" s="226"/>
    </row>
    <row r="854" spans="8:8" ht="13">
      <c r="H854" s="226"/>
    </row>
    <row r="855" spans="8:8" ht="13">
      <c r="H855" s="226"/>
    </row>
    <row r="856" spans="8:8" ht="13">
      <c r="H856" s="226"/>
    </row>
    <row r="857" spans="8:8" ht="13">
      <c r="H857" s="226"/>
    </row>
    <row r="858" spans="8:8" ht="13">
      <c r="H858" s="226"/>
    </row>
    <row r="859" spans="8:8" ht="13">
      <c r="H859" s="226"/>
    </row>
    <row r="860" spans="8:8" ht="13">
      <c r="H860" s="226"/>
    </row>
    <row r="861" spans="8:8" ht="13">
      <c r="H861" s="226"/>
    </row>
    <row r="862" spans="8:8" ht="13">
      <c r="H862" s="226"/>
    </row>
    <row r="863" spans="8:8" ht="13">
      <c r="H863" s="226"/>
    </row>
    <row r="864" spans="8:8" ht="13">
      <c r="H864" s="226"/>
    </row>
    <row r="865" spans="8:8" ht="13">
      <c r="H865" s="226"/>
    </row>
    <row r="866" spans="8:8" ht="13">
      <c r="H866" s="226"/>
    </row>
    <row r="867" spans="8:8" ht="13">
      <c r="H867" s="226"/>
    </row>
    <row r="868" spans="8:8" ht="13">
      <c r="H868" s="226"/>
    </row>
    <row r="869" spans="8:8" ht="13">
      <c r="H869" s="226"/>
    </row>
    <row r="870" spans="8:8" ht="13">
      <c r="H870" s="226"/>
    </row>
    <row r="871" spans="8:8" ht="13">
      <c r="H871" s="226"/>
    </row>
    <row r="872" spans="8:8" ht="13">
      <c r="H872" s="226"/>
    </row>
    <row r="873" spans="8:8" ht="13">
      <c r="H873" s="226"/>
    </row>
    <row r="874" spans="8:8" ht="13">
      <c r="H874" s="226"/>
    </row>
    <row r="875" spans="8:8" ht="13">
      <c r="H875" s="226"/>
    </row>
    <row r="876" spans="8:8" ht="13">
      <c r="H876" s="226"/>
    </row>
    <row r="877" spans="8:8" ht="13">
      <c r="H877" s="226"/>
    </row>
    <row r="878" spans="8:8" ht="13">
      <c r="H878" s="226"/>
    </row>
    <row r="879" spans="8:8" ht="13">
      <c r="H879" s="226"/>
    </row>
    <row r="880" spans="8:8" ht="13">
      <c r="H880" s="226"/>
    </row>
    <row r="881" spans="8:8" ht="13">
      <c r="H881" s="226"/>
    </row>
    <row r="882" spans="8:8" ht="13">
      <c r="H882" s="226"/>
    </row>
    <row r="883" spans="8:8" ht="13">
      <c r="H883" s="226"/>
    </row>
    <row r="884" spans="8:8" ht="13">
      <c r="H884" s="226"/>
    </row>
    <row r="885" spans="8:8" ht="13">
      <c r="H885" s="226"/>
    </row>
    <row r="886" spans="8:8" ht="13">
      <c r="H886" s="226"/>
    </row>
    <row r="887" spans="8:8" ht="13">
      <c r="H887" s="226"/>
    </row>
    <row r="888" spans="8:8" ht="13">
      <c r="H888" s="226"/>
    </row>
    <row r="889" spans="8:8" ht="13">
      <c r="H889" s="226"/>
    </row>
    <row r="890" spans="8:8" ht="13">
      <c r="H890" s="226"/>
    </row>
    <row r="891" spans="8:8" ht="13">
      <c r="H891" s="226"/>
    </row>
    <row r="892" spans="8:8" ht="13">
      <c r="H892" s="226"/>
    </row>
    <row r="893" spans="8:8" ht="13">
      <c r="H893" s="226"/>
    </row>
    <row r="894" spans="8:8" ht="13">
      <c r="H894" s="226"/>
    </row>
    <row r="895" spans="8:8" ht="13">
      <c r="H895" s="226"/>
    </row>
    <row r="896" spans="8:8" ht="13">
      <c r="H896" s="226"/>
    </row>
    <row r="897" spans="8:8" ht="13">
      <c r="H897" s="226"/>
    </row>
    <row r="898" spans="8:8" ht="13">
      <c r="H898" s="226"/>
    </row>
    <row r="899" spans="8:8" ht="13">
      <c r="H899" s="226"/>
    </row>
    <row r="900" spans="8:8" ht="13">
      <c r="H900" s="226"/>
    </row>
    <row r="901" spans="8:8" ht="13">
      <c r="H901" s="226"/>
    </row>
    <row r="902" spans="8:8" ht="13">
      <c r="H902" s="226"/>
    </row>
    <row r="903" spans="8:8" ht="13">
      <c r="H903" s="226"/>
    </row>
    <row r="904" spans="8:8" ht="13">
      <c r="H904" s="226"/>
    </row>
    <row r="905" spans="8:8" ht="13">
      <c r="H905" s="226"/>
    </row>
    <row r="906" spans="8:8" ht="13">
      <c r="H906" s="226"/>
    </row>
    <row r="907" spans="8:8" ht="13">
      <c r="H907" s="226"/>
    </row>
    <row r="908" spans="8:8" ht="13">
      <c r="H908" s="226"/>
    </row>
    <row r="909" spans="8:8" ht="13">
      <c r="H909" s="226"/>
    </row>
    <row r="910" spans="8:8" ht="13">
      <c r="H910" s="226"/>
    </row>
    <row r="911" spans="8:8" ht="13">
      <c r="H911" s="226"/>
    </row>
    <row r="912" spans="8:8" ht="13">
      <c r="H912" s="226"/>
    </row>
    <row r="913" spans="8:8" ht="13">
      <c r="H913" s="226"/>
    </row>
    <row r="914" spans="8:8" ht="13">
      <c r="H914" s="226"/>
    </row>
    <row r="915" spans="8:8" ht="13">
      <c r="H915" s="226"/>
    </row>
    <row r="916" spans="8:8" ht="13">
      <c r="H916" s="226"/>
    </row>
    <row r="917" spans="8:8" ht="13">
      <c r="H917" s="226"/>
    </row>
    <row r="918" spans="8:8" ht="13">
      <c r="H918" s="226"/>
    </row>
    <row r="919" spans="8:8" ht="13">
      <c r="H919" s="226"/>
    </row>
    <row r="920" spans="8:8" ht="13">
      <c r="H920" s="226"/>
    </row>
    <row r="921" spans="8:8" ht="13">
      <c r="H921" s="226"/>
    </row>
    <row r="922" spans="8:8" ht="13">
      <c r="H922" s="226"/>
    </row>
    <row r="923" spans="8:8" ht="13">
      <c r="H923" s="226"/>
    </row>
    <row r="924" spans="8:8" ht="13">
      <c r="H924" s="226"/>
    </row>
    <row r="925" spans="8:8" ht="13">
      <c r="H925" s="226"/>
    </row>
    <row r="926" spans="8:8" ht="13">
      <c r="H926" s="226"/>
    </row>
    <row r="927" spans="8:8" ht="13">
      <c r="H927" s="226"/>
    </row>
    <row r="928" spans="8:8" ht="13">
      <c r="H928" s="226"/>
    </row>
    <row r="929" spans="8:8" ht="13">
      <c r="H929" s="226"/>
    </row>
    <row r="930" spans="8:8" ht="13">
      <c r="H930" s="226"/>
    </row>
    <row r="931" spans="8:8" ht="13">
      <c r="H931" s="226"/>
    </row>
    <row r="932" spans="8:8" ht="13">
      <c r="H932" s="226"/>
    </row>
    <row r="933" spans="8:8" ht="13">
      <c r="H933" s="226"/>
    </row>
    <row r="934" spans="8:8" ht="13">
      <c r="H934" s="226"/>
    </row>
    <row r="935" spans="8:8" ht="13">
      <c r="H935" s="226"/>
    </row>
    <row r="936" spans="8:8" ht="13">
      <c r="H936" s="226"/>
    </row>
    <row r="937" spans="8:8" ht="13">
      <c r="H937" s="226"/>
    </row>
    <row r="938" spans="8:8" ht="13">
      <c r="H938" s="226"/>
    </row>
    <row r="939" spans="8:8" ht="13">
      <c r="H939" s="226"/>
    </row>
    <row r="940" spans="8:8" ht="13">
      <c r="H940" s="226"/>
    </row>
    <row r="941" spans="8:8" ht="13">
      <c r="H941" s="226"/>
    </row>
    <row r="942" spans="8:8" ht="13">
      <c r="H942" s="226"/>
    </row>
    <row r="943" spans="8:8" ht="13">
      <c r="H943" s="226"/>
    </row>
    <row r="944" spans="8:8" ht="13">
      <c r="H944" s="226"/>
    </row>
    <row r="945" spans="8:8" ht="13">
      <c r="H945" s="226"/>
    </row>
    <row r="946" spans="8:8" ht="13">
      <c r="H946" s="226"/>
    </row>
    <row r="947" spans="8:8" ht="13">
      <c r="H947" s="226"/>
    </row>
    <row r="948" spans="8:8" ht="13">
      <c r="H948" s="226"/>
    </row>
    <row r="949" spans="8:8" ht="13">
      <c r="H949" s="226"/>
    </row>
    <row r="950" spans="8:8" ht="13">
      <c r="H950" s="226"/>
    </row>
    <row r="951" spans="8:8" ht="13">
      <c r="H951" s="226"/>
    </row>
    <row r="952" spans="8:8" ht="13">
      <c r="H952" s="226"/>
    </row>
    <row r="953" spans="8:8" ht="13">
      <c r="H953" s="226"/>
    </row>
    <row r="954" spans="8:8" ht="13">
      <c r="H954" s="226"/>
    </row>
    <row r="955" spans="8:8" ht="13">
      <c r="H955" s="226"/>
    </row>
    <row r="956" spans="8:8" ht="13">
      <c r="H956" s="226"/>
    </row>
    <row r="957" spans="8:8" ht="13">
      <c r="H957" s="226"/>
    </row>
    <row r="958" spans="8:8" ht="13">
      <c r="H958" s="226"/>
    </row>
    <row r="959" spans="8:8" ht="13">
      <c r="H959" s="226"/>
    </row>
    <row r="960" spans="8:8" ht="13">
      <c r="H960" s="226"/>
    </row>
    <row r="961" spans="8:8" ht="13">
      <c r="H961" s="226"/>
    </row>
    <row r="962" spans="8:8" ht="13">
      <c r="H962" s="226"/>
    </row>
    <row r="963" spans="8:8" ht="13">
      <c r="H963" s="226"/>
    </row>
    <row r="964" spans="8:8" ht="13">
      <c r="H964" s="226"/>
    </row>
    <row r="965" spans="8:8" ht="13">
      <c r="H965" s="226"/>
    </row>
    <row r="966" spans="8:8" ht="13">
      <c r="H966" s="226"/>
    </row>
    <row r="967" spans="8:8" ht="13">
      <c r="H967" s="226"/>
    </row>
    <row r="968" spans="8:8" ht="13">
      <c r="H968" s="226"/>
    </row>
    <row r="969" spans="8:8" ht="13">
      <c r="H969" s="226"/>
    </row>
    <row r="970" spans="8:8" ht="13">
      <c r="H970" s="226"/>
    </row>
    <row r="971" spans="8:8" ht="13">
      <c r="H971" s="226"/>
    </row>
    <row r="972" spans="8:8" ht="13">
      <c r="H972" s="226"/>
    </row>
    <row r="973" spans="8:8" ht="13">
      <c r="H973" s="226"/>
    </row>
    <row r="974" spans="8:8" ht="13">
      <c r="H974" s="226"/>
    </row>
    <row r="975" spans="8:8" ht="13">
      <c r="H975" s="226"/>
    </row>
    <row r="976" spans="8:8" ht="13">
      <c r="H976" s="226"/>
    </row>
    <row r="977" spans="8:8" ht="13">
      <c r="H977" s="226"/>
    </row>
    <row r="978" spans="8:8" ht="13">
      <c r="H978" s="226"/>
    </row>
    <row r="979" spans="8:8" ht="13">
      <c r="H979" s="226"/>
    </row>
    <row r="980" spans="8:8" ht="13">
      <c r="H980" s="226"/>
    </row>
    <row r="981" spans="8:8" ht="13">
      <c r="H981" s="226"/>
    </row>
    <row r="982" spans="8:8" ht="13">
      <c r="H982" s="226"/>
    </row>
    <row r="983" spans="8:8" ht="13">
      <c r="H983" s="226"/>
    </row>
    <row r="984" spans="8:8" ht="13">
      <c r="H984" s="226"/>
    </row>
    <row r="985" spans="8:8" ht="13">
      <c r="H985" s="226"/>
    </row>
    <row r="986" spans="8:8" ht="13">
      <c r="H986" s="226"/>
    </row>
    <row r="987" spans="8:8" ht="13">
      <c r="H987" s="226"/>
    </row>
    <row r="988" spans="8:8" ht="13">
      <c r="H988" s="226"/>
    </row>
    <row r="989" spans="8:8" ht="13">
      <c r="H989" s="226"/>
    </row>
    <row r="990" spans="8:8" ht="13">
      <c r="H990" s="226"/>
    </row>
    <row r="991" spans="8:8" ht="13">
      <c r="H991" s="226"/>
    </row>
    <row r="992" spans="8:8" ht="13">
      <c r="H992" s="226"/>
    </row>
    <row r="993" spans="8:8" ht="13">
      <c r="H993" s="226"/>
    </row>
    <row r="994" spans="8:8" ht="13">
      <c r="H994" s="226"/>
    </row>
    <row r="995" spans="8:8" ht="13">
      <c r="H995" s="226"/>
    </row>
    <row r="996" spans="8:8" ht="13">
      <c r="H996" s="226"/>
    </row>
    <row r="997" spans="8:8" ht="13">
      <c r="H997" s="226"/>
    </row>
    <row r="998" spans="8:8" ht="13">
      <c r="H998" s="226"/>
    </row>
    <row r="999" spans="8:8" ht="13">
      <c r="H999" s="226"/>
    </row>
    <row r="1000" spans="8:8" ht="13">
      <c r="H1000" s="226"/>
    </row>
    <row r="1001" spans="8:8" ht="13">
      <c r="H1001" s="226"/>
    </row>
    <row r="1002" spans="8:8" ht="13">
      <c r="H1002" s="226"/>
    </row>
    <row r="1003" spans="8:8" ht="13">
      <c r="H1003" s="226"/>
    </row>
    <row r="1004" spans="8:8" ht="13">
      <c r="H1004" s="226"/>
    </row>
    <row r="1005" spans="8:8" ht="13">
      <c r="H1005" s="226"/>
    </row>
    <row r="1006" spans="8:8" ht="13">
      <c r="H1006" s="226"/>
    </row>
    <row r="1007" spans="8:8" ht="13">
      <c r="H1007" s="226"/>
    </row>
    <row r="1008" spans="8:8" ht="13">
      <c r="H1008" s="226"/>
    </row>
    <row r="1009" spans="8:8" ht="13">
      <c r="H1009" s="226"/>
    </row>
    <row r="1010" spans="8:8" ht="13">
      <c r="H1010" s="226"/>
    </row>
    <row r="1011" spans="8:8" ht="13">
      <c r="H1011" s="226"/>
    </row>
    <row r="1012" spans="8:8" ht="13">
      <c r="H1012" s="226"/>
    </row>
    <row r="1013" spans="8:8" ht="13">
      <c r="H1013" s="226"/>
    </row>
    <row r="1014" spans="8:8" ht="13">
      <c r="H1014" s="226"/>
    </row>
    <row r="1015" spans="8:8" ht="13">
      <c r="H1015" s="226"/>
    </row>
    <row r="1016" spans="8:8" ht="13">
      <c r="H1016" s="226"/>
    </row>
    <row r="1017" spans="8:8" ht="13">
      <c r="H1017" s="226"/>
    </row>
    <row r="1018" spans="8:8" ht="13">
      <c r="H1018" s="226"/>
    </row>
    <row r="1019" spans="8:8" ht="13">
      <c r="H1019" s="226"/>
    </row>
    <row r="1020" spans="8:8" ht="13">
      <c r="H1020" s="226"/>
    </row>
    <row r="1021" spans="8:8" ht="13">
      <c r="H1021" s="226"/>
    </row>
    <row r="1022" spans="8:8" ht="13">
      <c r="H1022" s="226"/>
    </row>
    <row r="1023" spans="8:8" ht="13">
      <c r="H1023" s="226"/>
    </row>
    <row r="1024" spans="8:8" ht="13">
      <c r="H1024" s="226"/>
    </row>
    <row r="1025" spans="8:8" ht="13">
      <c r="H1025" s="226"/>
    </row>
    <row r="1026" spans="8:8" ht="13">
      <c r="H1026" s="226"/>
    </row>
    <row r="1027" spans="8:8" ht="13">
      <c r="H1027" s="226"/>
    </row>
    <row r="1028" spans="8:8" ht="13">
      <c r="H1028" s="226"/>
    </row>
    <row r="1029" spans="8:8" ht="13">
      <c r="H1029" s="226"/>
    </row>
    <row r="1030" spans="8:8" ht="13">
      <c r="H1030" s="226"/>
    </row>
    <row r="1031" spans="8:8" ht="13">
      <c r="H1031" s="226"/>
    </row>
    <row r="1032" spans="8:8" ht="13">
      <c r="H1032" s="226"/>
    </row>
    <row r="1033" spans="8:8" ht="13">
      <c r="H1033" s="226"/>
    </row>
    <row r="1034" spans="8:8" ht="13">
      <c r="H1034" s="226"/>
    </row>
    <row r="1035" spans="8:8" ht="13">
      <c r="H1035" s="226"/>
    </row>
    <row r="1036" spans="8:8" ht="13">
      <c r="H1036" s="226"/>
    </row>
    <row r="1037" spans="8:8" ht="13">
      <c r="H1037" s="226"/>
    </row>
    <row r="1038" spans="8:8" ht="13">
      <c r="H1038" s="226"/>
    </row>
    <row r="1039" spans="8:8" ht="13">
      <c r="H1039" s="226"/>
    </row>
    <row r="1040" spans="8:8" ht="13">
      <c r="H1040" s="226"/>
    </row>
    <row r="1041" spans="8:8" ht="13">
      <c r="H1041" s="226"/>
    </row>
    <row r="1042" spans="8:8" ht="13">
      <c r="H1042" s="226"/>
    </row>
    <row r="1043" spans="8:8" ht="13">
      <c r="H1043" s="226"/>
    </row>
    <row r="1044" spans="8:8" ht="13">
      <c r="H1044" s="226"/>
    </row>
    <row r="1045" spans="8:8" ht="13">
      <c r="H1045" s="226"/>
    </row>
    <row r="1046" spans="8:8" ht="13">
      <c r="H1046" s="226"/>
    </row>
    <row r="1047" spans="8:8" ht="13">
      <c r="H1047" s="226"/>
    </row>
    <row r="1048" spans="8:8" ht="13">
      <c r="H1048" s="226"/>
    </row>
    <row r="1049" spans="8:8" ht="13">
      <c r="H1049" s="226"/>
    </row>
    <row r="1050" spans="8:8" ht="13">
      <c r="H1050" s="226"/>
    </row>
    <row r="1051" spans="8:8" ht="13">
      <c r="H1051" s="226"/>
    </row>
    <row r="1052" spans="8:8" ht="13">
      <c r="H1052" s="226"/>
    </row>
    <row r="1053" spans="8:8" ht="13">
      <c r="H1053" s="226"/>
    </row>
    <row r="1054" spans="8:8" ht="13">
      <c r="H1054" s="226"/>
    </row>
    <row r="1055" spans="8:8" ht="13">
      <c r="H1055" s="226"/>
    </row>
    <row r="1056" spans="8:8" ht="13">
      <c r="H1056" s="226"/>
    </row>
    <row r="1057" spans="8:8" ht="13">
      <c r="H1057" s="226"/>
    </row>
    <row r="1058" spans="8:8" ht="13">
      <c r="H1058" s="226"/>
    </row>
    <row r="1059" spans="8:8" ht="13">
      <c r="H1059" s="226"/>
    </row>
    <row r="1060" spans="8:8" ht="13">
      <c r="H1060" s="226"/>
    </row>
    <row r="1061" spans="8:8" ht="13">
      <c r="H1061" s="226"/>
    </row>
    <row r="1062" spans="8:8" ht="13">
      <c r="H1062" s="226"/>
    </row>
    <row r="1063" spans="8:8" ht="13">
      <c r="H1063" s="226"/>
    </row>
    <row r="1064" spans="8:8" ht="13">
      <c r="H1064" s="226"/>
    </row>
  </sheetData>
  <autoFilter ref="O1:O1064" xr:uid="{00000000-0009-0000-0000-00000F000000}"/>
  <conditionalFormatting sqref="B1 B3:B1064">
    <cfRule type="cellIs" dxfId="23" priority="1" operator="between">
      <formula>50</formula>
      <formula>200</formula>
    </cfRule>
  </conditionalFormatting>
  <conditionalFormatting sqref="B1 B3:B1064">
    <cfRule type="cellIs" dxfId="22" priority="2" operator="between">
      <formula>201</formula>
      <formula>400</formula>
    </cfRule>
  </conditionalFormatting>
  <conditionalFormatting sqref="B3:B1059">
    <cfRule type="cellIs" dxfId="21" priority="3" operator="between">
      <formula>401</formula>
      <formula>650</formula>
    </cfRule>
  </conditionalFormatting>
  <conditionalFormatting sqref="B3:B1059">
    <cfRule type="cellIs" dxfId="20" priority="4" operator="between">
      <formula>651</formula>
      <formula>900</formula>
    </cfRule>
  </conditionalFormatting>
  <conditionalFormatting sqref="B3:B1059">
    <cfRule type="cellIs" dxfId="19" priority="5" operator="greaterThan">
      <formula>900</formula>
    </cfRule>
  </conditionalFormatting>
  <conditionalFormatting sqref="K3:K1059">
    <cfRule type="containsText" dxfId="18" priority="6" operator="containsText" text="yes">
      <formula>NOT(ISERROR(SEARCH(("yes"),(K3))))</formula>
    </cfRule>
  </conditionalFormatting>
  <conditionalFormatting sqref="F1:F1064">
    <cfRule type="colorScale" priority="7">
      <colorScale>
        <cfvo type="min"/>
        <cfvo type="formula" val="150"/>
        <color rgb="FFEAD1DC"/>
        <color rgb="FFA64D79"/>
      </colorScale>
    </cfRule>
  </conditionalFormatting>
  <conditionalFormatting sqref="D3:D82">
    <cfRule type="colorScale" priority="8">
      <colorScale>
        <cfvo type="formula" val="1.2"/>
        <cfvo type="formula" val="4"/>
        <color rgb="FF0B5394"/>
        <color rgb="FFFFFFFF"/>
      </colorScale>
    </cfRule>
  </conditionalFormatting>
  <conditionalFormatting sqref="E3:E82">
    <cfRule type="colorScale" priority="9">
      <colorScale>
        <cfvo type="formula" val="65"/>
        <cfvo type="formula" val="100"/>
        <color rgb="FFD9D2E9"/>
        <color rgb="FF674EA7"/>
      </colorScale>
    </cfRule>
  </conditionalFormatting>
  <conditionalFormatting sqref="D3:D82">
    <cfRule type="containsText" dxfId="17" priority="10" operator="containsText" text="1.2">
      <formula>NOT(ISERROR(SEARCH(("1.2"),(D3))))</formula>
    </cfRule>
  </conditionalFormatting>
  <conditionalFormatting sqref="D12">
    <cfRule type="notContainsBlanks" dxfId="16" priority="11">
      <formula>LEN(TRIM(D12))&gt;0</formula>
    </cfRule>
  </conditionalFormatting>
  <conditionalFormatting sqref="D3:D82">
    <cfRule type="containsText" dxfId="15" priority="12" operator="containsText" text="1.4">
      <formula>NOT(ISERROR(SEARCH(("1.4"),(D3))))</formula>
    </cfRule>
  </conditionalFormatting>
  <conditionalFormatting sqref="D3:D101">
    <cfRule type="containsText" dxfId="14" priority="13" operator="containsText" text="1.8">
      <formula>NOT(ISERROR(SEARCH(("1.8"),(D3))))</formula>
    </cfRule>
  </conditionalFormatting>
  <conditionalFormatting sqref="A3:A100">
    <cfRule type="expression" dxfId="13" priority="14">
      <formula>(TODAY()-O3)&lt;0</formula>
    </cfRule>
  </conditionalFormatting>
  <conditionalFormatting sqref="A3:A100">
    <cfRule type="expression" dxfId="12" priority="15">
      <formula>(TODAY()-O3)&lt;180</formula>
    </cfRule>
  </conditionalFormatting>
  <conditionalFormatting sqref="G3:G102">
    <cfRule type="cellIs" dxfId="11" priority="16" operator="equal">
      <formula>"MF"</formula>
    </cfRule>
  </conditionalFormatting>
  <conditionalFormatting sqref="I3:I102">
    <cfRule type="cellIs" dxfId="10" priority="17" operator="between">
      <formula>0.24</formula>
      <formula>0.45</formula>
    </cfRule>
  </conditionalFormatting>
  <conditionalFormatting sqref="I3:I102">
    <cfRule type="cellIs" dxfId="9" priority="18" operator="between">
      <formula>0.45</formula>
      <formula>0.99</formula>
    </cfRule>
  </conditionalFormatting>
  <conditionalFormatting sqref="I3:I102">
    <cfRule type="cellIs" dxfId="8" priority="19" operator="greaterThan">
      <formula>0.99</formula>
    </cfRule>
  </conditionalFormatting>
  <dataValidations count="1">
    <dataValidation type="list" allowBlank="1" sqref="N3:N82" xr:uid="{00000000-0002-0000-0F00-000000000000}">
      <formula1>"Sony,Voigtlander,Zeiss,Sigma,Samyang,Viltrox,Tokina,Tamron"</formula1>
    </dataValidation>
  </dataValidations>
  <hyperlinks>
    <hyperlink ref="R1" r:id="rId1" xr:uid="{00000000-0004-0000-0F00-000000000000}"/>
    <hyperlink ref="T1" r:id="rId2" xr:uid="{00000000-0004-0000-0F00-000001000000}"/>
    <hyperlink ref="U1" r:id="rId3" xr:uid="{00000000-0004-0000-0F00-000002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O97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35.6640625" customWidth="1"/>
    <col min="2" max="2" width="6.5" customWidth="1"/>
    <col min="3" max="3" width="8.1640625" customWidth="1"/>
    <col min="4" max="4" width="8" customWidth="1"/>
    <col min="5" max="6" width="7.33203125" customWidth="1"/>
    <col min="7" max="7" width="7.1640625" customWidth="1"/>
    <col min="8" max="8" width="4.5" customWidth="1"/>
    <col min="9" max="9" width="7.5" customWidth="1"/>
    <col min="10" max="10" width="5" customWidth="1"/>
    <col min="11" max="11" width="6.1640625" customWidth="1"/>
    <col min="12" max="12" width="7.5" customWidth="1"/>
    <col min="13" max="13" width="7.6640625" customWidth="1"/>
    <col min="14" max="14" width="4" customWidth="1"/>
  </cols>
  <sheetData>
    <row r="1" spans="1:15" ht="76.5" customHeight="1">
      <c r="A1" s="1" t="s">
        <v>0</v>
      </c>
      <c r="B1" s="2" t="s">
        <v>1</v>
      </c>
      <c r="C1" s="3" t="s">
        <v>2</v>
      </c>
      <c r="D1" s="4" t="s">
        <v>3</v>
      </c>
      <c r="E1" s="5" t="s">
        <v>4</v>
      </c>
      <c r="F1" s="6" t="s">
        <v>5</v>
      </c>
      <c r="G1" s="8" t="s">
        <v>7</v>
      </c>
      <c r="H1" s="3" t="s">
        <v>8</v>
      </c>
      <c r="I1" s="3" t="s">
        <v>10</v>
      </c>
      <c r="J1" s="3" t="s">
        <v>12</v>
      </c>
      <c r="K1" s="3" t="s">
        <v>13</v>
      </c>
      <c r="L1" s="3" t="s">
        <v>257</v>
      </c>
      <c r="M1" s="9" t="s">
        <v>16</v>
      </c>
      <c r="N1" s="12" t="s">
        <v>21</v>
      </c>
      <c r="O1" s="13" t="s">
        <v>22</v>
      </c>
    </row>
    <row r="2" spans="1:15" ht="18" customHeight="1">
      <c r="A2" s="14" t="s">
        <v>23</v>
      </c>
      <c r="B2" s="15"/>
      <c r="C2" s="15"/>
      <c r="D2" s="15"/>
      <c r="E2" s="15"/>
      <c r="F2" s="15"/>
      <c r="G2" s="17"/>
      <c r="H2" s="15"/>
      <c r="I2" s="15"/>
      <c r="J2" s="15"/>
      <c r="K2" s="16"/>
      <c r="L2" s="16"/>
      <c r="M2" s="15"/>
      <c r="N2" s="15"/>
    </row>
    <row r="3" spans="1:15" ht="13">
      <c r="A3" s="702"/>
      <c r="B3" s="703"/>
      <c r="C3" s="704"/>
      <c r="D3" s="705"/>
      <c r="E3" s="706"/>
      <c r="F3" s="707"/>
      <c r="G3" s="708"/>
      <c r="H3" s="380"/>
      <c r="I3" s="709"/>
      <c r="J3" s="708"/>
      <c r="K3" s="710"/>
      <c r="L3" s="711"/>
      <c r="M3" s="712"/>
      <c r="N3" s="372"/>
    </row>
    <row r="4" spans="1:15" ht="13">
      <c r="A4" s="713" t="str">
        <f>HYPERLINK("https://phillipreeve.net/blog/review-olympus-om-zuiko-28mm-12/","Olympus Zuiko MC Auto-W 1:2 f=28cm")</f>
        <v>Olympus Zuiko MC Auto-W 1:2 f=28cm</v>
      </c>
      <c r="B4" s="714">
        <v>248</v>
      </c>
      <c r="C4" s="715">
        <v>28</v>
      </c>
      <c r="D4" s="716">
        <v>2</v>
      </c>
      <c r="E4" s="717">
        <v>60</v>
      </c>
      <c r="F4" s="718">
        <v>43</v>
      </c>
      <c r="G4" s="719" t="s">
        <v>124</v>
      </c>
      <c r="H4" s="720" t="s">
        <v>258</v>
      </c>
      <c r="I4" s="721" t="s">
        <v>259</v>
      </c>
      <c r="J4" s="719">
        <v>8</v>
      </c>
      <c r="K4" s="722" t="s">
        <v>91</v>
      </c>
      <c r="L4" s="723"/>
      <c r="M4" s="724"/>
      <c r="N4" s="725"/>
    </row>
    <row r="5" spans="1:15" ht="13">
      <c r="A5" s="726" t="str">
        <f>HYPERLINK("https://phillipreeve.net/blog/review-olympus-f-zuiko-auto-s-1-8-50/","Olympus F.Zuiko Auto-S 1:1.2 f=50mm")</f>
        <v>Olympus F.Zuiko Auto-S 1:1.2 f=50mm</v>
      </c>
      <c r="B5" s="727">
        <v>170</v>
      </c>
      <c r="C5" s="728">
        <v>50</v>
      </c>
      <c r="D5" s="729">
        <v>1.8</v>
      </c>
      <c r="E5" s="730">
        <v>61</v>
      </c>
      <c r="F5" s="731">
        <v>31</v>
      </c>
      <c r="G5" s="732">
        <v>49</v>
      </c>
      <c r="H5" s="733" t="s">
        <v>260</v>
      </c>
      <c r="I5" s="734">
        <v>45</v>
      </c>
      <c r="J5" s="732">
        <v>6</v>
      </c>
      <c r="K5" s="735" t="s">
        <v>261</v>
      </c>
      <c r="L5" s="711"/>
      <c r="M5" s="712"/>
      <c r="N5" s="372"/>
    </row>
    <row r="6" spans="1:15" ht="13">
      <c r="A6" s="736" t="str">
        <f>HYPERLINK("https://phillipreeve.net/blog/hands-on-olympus-250mm-2-0-om-zuiko-auto-t/","Olympus Zuiko Auto-T 250mm 1:2")</f>
        <v>Olympus Zuiko Auto-T 250mm 1:2</v>
      </c>
      <c r="B6" s="727">
        <v>3900</v>
      </c>
      <c r="C6" s="728">
        <v>250</v>
      </c>
      <c r="D6" s="729">
        <v>2</v>
      </c>
      <c r="E6" s="730">
        <v>142</v>
      </c>
      <c r="F6" s="731">
        <v>255</v>
      </c>
      <c r="G6" s="732" t="s">
        <v>26</v>
      </c>
      <c r="H6" s="733" t="s">
        <v>262</v>
      </c>
      <c r="I6" s="734">
        <v>2.2000000000000002</v>
      </c>
      <c r="J6" s="732">
        <v>9</v>
      </c>
      <c r="K6" s="735" t="s">
        <v>50</v>
      </c>
      <c r="L6" s="711"/>
      <c r="M6" s="712"/>
      <c r="N6" s="372"/>
    </row>
    <row r="7" spans="1:15" ht="13">
      <c r="A7" s="737"/>
      <c r="B7" s="703"/>
      <c r="C7" s="704"/>
      <c r="D7" s="705"/>
      <c r="E7" s="706"/>
      <c r="F7" s="707"/>
      <c r="G7" s="708"/>
      <c r="H7" s="380"/>
      <c r="I7" s="709"/>
      <c r="J7" s="708"/>
      <c r="K7" s="710"/>
      <c r="L7" s="711"/>
      <c r="M7" s="712"/>
      <c r="N7" s="372"/>
    </row>
    <row r="8" spans="1:15" ht="13">
      <c r="A8" s="737"/>
      <c r="B8" s="703"/>
      <c r="C8" s="704"/>
      <c r="D8" s="705"/>
      <c r="E8" s="706"/>
      <c r="F8" s="707"/>
      <c r="G8" s="708"/>
      <c r="H8" s="380"/>
      <c r="I8" s="709"/>
      <c r="J8" s="708"/>
      <c r="K8" s="710"/>
      <c r="L8" s="711"/>
      <c r="M8" s="712"/>
      <c r="N8" s="372"/>
    </row>
    <row r="9" spans="1:15" ht="15">
      <c r="A9" s="312"/>
      <c r="B9" s="313"/>
      <c r="C9" s="312"/>
      <c r="D9" s="312"/>
      <c r="E9" s="314"/>
      <c r="F9" s="315"/>
      <c r="G9" s="316"/>
      <c r="H9" s="312"/>
      <c r="I9" s="312"/>
      <c r="J9" s="312"/>
      <c r="K9" s="312"/>
      <c r="L9" s="312"/>
      <c r="M9" s="312"/>
      <c r="N9" s="317"/>
    </row>
    <row r="10" spans="1:15" ht="15">
      <c r="A10" s="223" t="s">
        <v>136</v>
      </c>
      <c r="B10" s="318">
        <f>COUNT(C2:C100)</f>
        <v>3</v>
      </c>
      <c r="D10" s="77"/>
      <c r="E10" s="219"/>
      <c r="F10" s="220"/>
      <c r="G10" s="212"/>
      <c r="H10" s="77"/>
      <c r="I10" s="77"/>
      <c r="J10" s="77"/>
      <c r="K10" s="77"/>
      <c r="L10" s="77"/>
      <c r="M10" s="77"/>
      <c r="N10" s="214"/>
    </row>
    <row r="11" spans="1:15" ht="13">
      <c r="A11" s="225" t="s">
        <v>263</v>
      </c>
      <c r="E11" s="219"/>
      <c r="F11" s="220"/>
      <c r="G11" s="226"/>
      <c r="N11" s="214"/>
    </row>
    <row r="12" spans="1:15" ht="13">
      <c r="A12" s="207"/>
      <c r="B12" s="77"/>
      <c r="C12" s="77"/>
      <c r="D12" s="77"/>
      <c r="E12" s="219"/>
      <c r="F12" s="220"/>
      <c r="G12" s="212"/>
      <c r="H12" s="77"/>
      <c r="I12" s="77"/>
      <c r="J12" s="77"/>
      <c r="K12" s="77"/>
      <c r="L12" s="77"/>
      <c r="M12" s="77"/>
      <c r="N12" s="214"/>
    </row>
    <row r="13" spans="1:15" ht="13">
      <c r="A13" s="319" t="str">
        <f>HYPERLINK("https://phillipreeve.net/blog/sony-fe-lenses/fe-list/","If you have a question or want to report any mistake please leave a comment on the blog.")</f>
        <v>If you have a question or want to report any mistake please leave a comment on the blog.</v>
      </c>
      <c r="B13" s="228"/>
      <c r="C13" s="228"/>
      <c r="D13" s="228"/>
      <c r="E13" s="229"/>
      <c r="F13" s="230"/>
      <c r="G13" s="231"/>
      <c r="H13" s="228"/>
      <c r="M13" s="228"/>
      <c r="N13" s="214"/>
    </row>
    <row r="14" spans="1:15" ht="13">
      <c r="E14" s="219"/>
      <c r="F14" s="220"/>
      <c r="G14" s="226"/>
      <c r="N14" s="214"/>
    </row>
    <row r="15" spans="1:15" ht="13">
      <c r="A15" s="207" t="s">
        <v>139</v>
      </c>
      <c r="E15" s="219"/>
      <c r="F15" s="220"/>
      <c r="G15" s="226"/>
      <c r="N15" s="214"/>
    </row>
    <row r="16" spans="1:15" ht="13">
      <c r="A16" s="160"/>
      <c r="E16" s="219"/>
      <c r="F16" s="220"/>
      <c r="G16" s="226"/>
      <c r="N16" s="214"/>
    </row>
    <row r="17" spans="1:14" ht="13">
      <c r="A17" s="160"/>
      <c r="E17" s="219"/>
      <c r="F17" s="220"/>
      <c r="G17" s="226"/>
      <c r="N17" s="214"/>
    </row>
    <row r="18" spans="1:14" ht="13">
      <c r="A18" s="160"/>
      <c r="E18" s="219"/>
      <c r="F18" s="220"/>
      <c r="G18" s="226"/>
      <c r="N18" s="214"/>
    </row>
    <row r="19" spans="1:14" ht="13">
      <c r="A19" s="160"/>
      <c r="E19" s="219"/>
      <c r="F19" s="220"/>
      <c r="G19" s="226"/>
      <c r="N19" s="214"/>
    </row>
    <row r="20" spans="1:14" ht="13">
      <c r="A20" s="160"/>
      <c r="E20" s="219"/>
      <c r="F20" s="220"/>
      <c r="G20" s="226"/>
      <c r="N20" s="214"/>
    </row>
    <row r="21" spans="1:14" ht="13">
      <c r="A21" s="160"/>
      <c r="E21" s="219"/>
      <c r="F21" s="220"/>
      <c r="G21" s="226"/>
      <c r="N21" s="214"/>
    </row>
    <row r="22" spans="1:14" ht="13">
      <c r="A22" s="160"/>
      <c r="E22" s="219"/>
      <c r="F22" s="220"/>
      <c r="G22" s="226"/>
      <c r="N22" s="214"/>
    </row>
    <row r="23" spans="1:14" ht="13">
      <c r="G23" s="226"/>
      <c r="N23" s="214"/>
    </row>
    <row r="24" spans="1:14" ht="13">
      <c r="A24" s="207"/>
      <c r="G24" s="226"/>
      <c r="N24" s="214"/>
    </row>
    <row r="25" spans="1:14" ht="13">
      <c r="G25" s="226"/>
      <c r="N25" s="214"/>
    </row>
    <row r="26" spans="1:14" ht="13">
      <c r="G26" s="226"/>
      <c r="N26" s="214"/>
    </row>
    <row r="27" spans="1:14" ht="13">
      <c r="G27" s="226"/>
      <c r="N27" s="214"/>
    </row>
    <row r="28" spans="1:14" ht="13">
      <c r="G28" s="226"/>
      <c r="N28" s="214"/>
    </row>
    <row r="29" spans="1:14" ht="13">
      <c r="A29" s="233"/>
      <c r="G29" s="226"/>
      <c r="N29" s="214"/>
    </row>
    <row r="30" spans="1:14" ht="13">
      <c r="A30" s="207" t="s">
        <v>142</v>
      </c>
      <c r="G30" s="226"/>
      <c r="N30" s="214"/>
    </row>
    <row r="31" spans="1:14" ht="13">
      <c r="A31" s="77" t="s">
        <v>144</v>
      </c>
      <c r="D31" s="233"/>
      <c r="G31" s="226"/>
      <c r="N31" s="214"/>
    </row>
    <row r="32" spans="1:14" ht="13">
      <c r="D32" s="233"/>
      <c r="G32" s="226"/>
      <c r="N32" s="214"/>
    </row>
    <row r="33" spans="1:14" ht="13">
      <c r="G33" s="226"/>
      <c r="N33" s="214"/>
    </row>
    <row r="34" spans="1:14" ht="13">
      <c r="A34" s="170" t="str">
        <f>HYPERLINK("https://phillipreeve.net/blog/impressum/","Impressum")</f>
        <v>Impressum</v>
      </c>
      <c r="G34" s="226"/>
      <c r="N34" s="214"/>
    </row>
    <row r="35" spans="1:14" ht="13">
      <c r="G35" s="226"/>
      <c r="N35" s="214"/>
    </row>
    <row r="36" spans="1:14" ht="13">
      <c r="G36" s="226"/>
      <c r="N36" s="214"/>
    </row>
    <row r="37" spans="1:14" ht="13">
      <c r="G37" s="226"/>
      <c r="N37" s="214"/>
    </row>
    <row r="38" spans="1:14" ht="13">
      <c r="G38" s="226"/>
      <c r="N38" s="214"/>
    </row>
    <row r="39" spans="1:14" ht="13">
      <c r="G39" s="226"/>
      <c r="N39" s="214"/>
    </row>
    <row r="40" spans="1:14" ht="13">
      <c r="A40" s="207"/>
      <c r="G40" s="226"/>
      <c r="N40" s="214"/>
    </row>
    <row r="41" spans="1:14" ht="13">
      <c r="A41" s="207"/>
      <c r="G41" s="226"/>
      <c r="N41" s="214"/>
    </row>
    <row r="42" spans="1:14" ht="13">
      <c r="A42" s="207"/>
      <c r="G42" s="226"/>
      <c r="N42" s="214"/>
    </row>
    <row r="43" spans="1:14" ht="13">
      <c r="A43" s="207"/>
      <c r="G43" s="226"/>
      <c r="N43" s="214"/>
    </row>
    <row r="44" spans="1:14" ht="13">
      <c r="A44" s="207"/>
      <c r="G44" s="226"/>
      <c r="N44" s="214"/>
    </row>
    <row r="45" spans="1:14" ht="13">
      <c r="A45" s="207"/>
      <c r="G45" s="226"/>
      <c r="N45" s="214"/>
    </row>
    <row r="46" spans="1:14" ht="13">
      <c r="A46" s="233"/>
      <c r="G46" s="226"/>
      <c r="N46" s="214"/>
    </row>
    <row r="47" spans="1:14" ht="13">
      <c r="A47" s="207"/>
      <c r="G47" s="226"/>
      <c r="N47" s="214"/>
    </row>
    <row r="48" spans="1:14" ht="13">
      <c r="A48" s="207"/>
      <c r="G48" s="226"/>
      <c r="N48" s="214"/>
    </row>
    <row r="49" spans="1:14" ht="13">
      <c r="A49" s="233"/>
      <c r="G49" s="226"/>
      <c r="N49" s="214"/>
    </row>
    <row r="50" spans="1:14" ht="13">
      <c r="A50" s="207"/>
      <c r="G50" s="226"/>
      <c r="N50" s="214"/>
    </row>
    <row r="51" spans="1:14" ht="13">
      <c r="A51" s="207"/>
      <c r="G51" s="226"/>
      <c r="N51" s="214"/>
    </row>
    <row r="52" spans="1:14" ht="13">
      <c r="A52" s="207"/>
      <c r="G52" s="226"/>
      <c r="N52" s="214"/>
    </row>
    <row r="53" spans="1:14" ht="13">
      <c r="A53" s="207"/>
      <c r="G53" s="226"/>
      <c r="N53" s="214"/>
    </row>
    <row r="54" spans="1:14" ht="13">
      <c r="A54" s="207"/>
      <c r="G54" s="226"/>
      <c r="N54" s="214"/>
    </row>
    <row r="55" spans="1:14" ht="13">
      <c r="A55" s="207"/>
      <c r="G55" s="226"/>
      <c r="N55" s="214"/>
    </row>
    <row r="56" spans="1:14" ht="13">
      <c r="A56" s="207"/>
      <c r="G56" s="226"/>
      <c r="N56" s="214"/>
    </row>
    <row r="57" spans="1:14" ht="13">
      <c r="A57" s="207"/>
      <c r="G57" s="226"/>
      <c r="N57" s="214"/>
    </row>
    <row r="58" spans="1:14" ht="13">
      <c r="A58" s="207"/>
      <c r="G58" s="226"/>
      <c r="N58" s="214"/>
    </row>
    <row r="59" spans="1:14" ht="13">
      <c r="A59" s="233"/>
      <c r="G59" s="226"/>
      <c r="N59" s="214"/>
    </row>
    <row r="60" spans="1:14" ht="13">
      <c r="A60" s="233"/>
      <c r="G60" s="226"/>
      <c r="N60" s="214"/>
    </row>
    <row r="61" spans="1:14" ht="13">
      <c r="G61" s="226"/>
      <c r="N61" s="214"/>
    </row>
    <row r="62" spans="1:14" ht="13">
      <c r="G62" s="226"/>
      <c r="N62" s="214"/>
    </row>
    <row r="63" spans="1:14" ht="13">
      <c r="G63" s="226"/>
      <c r="N63" s="214"/>
    </row>
    <row r="64" spans="1:14" ht="13">
      <c r="G64" s="226"/>
      <c r="N64" s="214"/>
    </row>
    <row r="65" spans="7:7" ht="13">
      <c r="G65" s="226"/>
    </row>
    <row r="66" spans="7:7" ht="13">
      <c r="G66" s="226"/>
    </row>
    <row r="67" spans="7:7" ht="13">
      <c r="G67" s="226"/>
    </row>
    <row r="68" spans="7:7" ht="13">
      <c r="G68" s="226"/>
    </row>
    <row r="69" spans="7:7" ht="13">
      <c r="G69" s="226"/>
    </row>
    <row r="70" spans="7:7" ht="13">
      <c r="G70" s="226"/>
    </row>
    <row r="71" spans="7:7" ht="13">
      <c r="G71" s="226"/>
    </row>
    <row r="72" spans="7:7" ht="13">
      <c r="G72" s="226"/>
    </row>
    <row r="73" spans="7:7" ht="13">
      <c r="G73" s="226"/>
    </row>
    <row r="74" spans="7:7" ht="13">
      <c r="G74" s="226"/>
    </row>
    <row r="75" spans="7:7" ht="13">
      <c r="G75" s="226"/>
    </row>
    <row r="76" spans="7:7" ht="13">
      <c r="G76" s="226"/>
    </row>
    <row r="77" spans="7:7" ht="13">
      <c r="G77" s="226"/>
    </row>
    <row r="78" spans="7:7" ht="13">
      <c r="G78" s="226"/>
    </row>
    <row r="79" spans="7:7" ht="13">
      <c r="G79" s="226"/>
    </row>
    <row r="80" spans="7:7" ht="13">
      <c r="G80" s="226"/>
    </row>
    <row r="81" spans="7:7" ht="13">
      <c r="G81" s="226"/>
    </row>
    <row r="82" spans="7:7" ht="13">
      <c r="G82" s="226"/>
    </row>
    <row r="83" spans="7:7" ht="13">
      <c r="G83" s="226"/>
    </row>
    <row r="84" spans="7:7" ht="13">
      <c r="G84" s="226"/>
    </row>
    <row r="85" spans="7:7" ht="13">
      <c r="G85" s="226"/>
    </row>
    <row r="86" spans="7:7" ht="13">
      <c r="G86" s="226"/>
    </row>
    <row r="87" spans="7:7" ht="13">
      <c r="G87" s="226"/>
    </row>
    <row r="88" spans="7:7" ht="13">
      <c r="G88" s="226"/>
    </row>
    <row r="89" spans="7:7" ht="13">
      <c r="G89" s="226"/>
    </row>
    <row r="90" spans="7:7" ht="13">
      <c r="G90" s="226"/>
    </row>
    <row r="91" spans="7:7" ht="13">
      <c r="G91" s="226"/>
    </row>
    <row r="92" spans="7:7" ht="13">
      <c r="G92" s="226"/>
    </row>
    <row r="93" spans="7:7" ht="13">
      <c r="G93" s="226"/>
    </row>
    <row r="94" spans="7:7" ht="13">
      <c r="G94" s="226"/>
    </row>
    <row r="95" spans="7:7" ht="13">
      <c r="G95" s="226"/>
    </row>
    <row r="96" spans="7:7" ht="13">
      <c r="G96" s="226"/>
    </row>
    <row r="97" spans="7:7" ht="13">
      <c r="G97" s="226"/>
    </row>
    <row r="98" spans="7:7" ht="13">
      <c r="G98" s="226"/>
    </row>
    <row r="99" spans="7:7" ht="13">
      <c r="G99" s="226"/>
    </row>
    <row r="100" spans="7:7" ht="13">
      <c r="G100" s="226"/>
    </row>
    <row r="101" spans="7:7" ht="13">
      <c r="G101" s="226"/>
    </row>
    <row r="102" spans="7:7" ht="13">
      <c r="G102" s="226"/>
    </row>
    <row r="103" spans="7:7" ht="13">
      <c r="G103" s="226"/>
    </row>
    <row r="104" spans="7:7" ht="13">
      <c r="G104" s="226"/>
    </row>
    <row r="105" spans="7:7" ht="13">
      <c r="G105" s="226"/>
    </row>
    <row r="106" spans="7:7" ht="13">
      <c r="G106" s="226"/>
    </row>
    <row r="107" spans="7:7" ht="13">
      <c r="G107" s="226"/>
    </row>
    <row r="108" spans="7:7" ht="13">
      <c r="G108" s="226"/>
    </row>
    <row r="109" spans="7:7" ht="13">
      <c r="G109" s="226"/>
    </row>
    <row r="110" spans="7:7" ht="13">
      <c r="G110" s="226"/>
    </row>
    <row r="111" spans="7:7" ht="13">
      <c r="G111" s="226"/>
    </row>
    <row r="112" spans="7:7" ht="13">
      <c r="G112" s="226"/>
    </row>
    <row r="113" spans="7:7" ht="13">
      <c r="G113" s="226"/>
    </row>
    <row r="114" spans="7:7" ht="13">
      <c r="G114" s="226"/>
    </row>
    <row r="115" spans="7:7" ht="13">
      <c r="G115" s="226"/>
    </row>
    <row r="116" spans="7:7" ht="13">
      <c r="G116" s="226"/>
    </row>
    <row r="117" spans="7:7" ht="13">
      <c r="G117" s="226"/>
    </row>
    <row r="118" spans="7:7" ht="13">
      <c r="G118" s="226"/>
    </row>
    <row r="119" spans="7:7" ht="13">
      <c r="G119" s="226"/>
    </row>
    <row r="120" spans="7:7" ht="13">
      <c r="G120" s="226"/>
    </row>
    <row r="121" spans="7:7" ht="13">
      <c r="G121" s="226"/>
    </row>
    <row r="122" spans="7:7" ht="13">
      <c r="G122" s="226"/>
    </row>
    <row r="123" spans="7:7" ht="13">
      <c r="G123" s="226"/>
    </row>
    <row r="124" spans="7:7" ht="13">
      <c r="G124" s="226"/>
    </row>
    <row r="125" spans="7:7" ht="13">
      <c r="G125" s="226"/>
    </row>
    <row r="126" spans="7:7" ht="13">
      <c r="G126" s="226"/>
    </row>
    <row r="127" spans="7:7" ht="13">
      <c r="G127" s="226"/>
    </row>
    <row r="128" spans="7:7" ht="13">
      <c r="G128" s="226"/>
    </row>
    <row r="129" spans="7:7" ht="13">
      <c r="G129" s="226"/>
    </row>
    <row r="130" spans="7:7" ht="13">
      <c r="G130" s="226"/>
    </row>
    <row r="131" spans="7:7" ht="13">
      <c r="G131" s="226"/>
    </row>
    <row r="132" spans="7:7" ht="13">
      <c r="G132" s="226"/>
    </row>
    <row r="133" spans="7:7" ht="13">
      <c r="G133" s="226"/>
    </row>
    <row r="134" spans="7:7" ht="13">
      <c r="G134" s="226"/>
    </row>
    <row r="135" spans="7:7" ht="13">
      <c r="G135" s="226"/>
    </row>
    <row r="136" spans="7:7" ht="13">
      <c r="G136" s="226"/>
    </row>
    <row r="137" spans="7:7" ht="13">
      <c r="G137" s="226"/>
    </row>
    <row r="138" spans="7:7" ht="13">
      <c r="G138" s="226"/>
    </row>
    <row r="139" spans="7:7" ht="13">
      <c r="G139" s="226"/>
    </row>
    <row r="140" spans="7:7" ht="13">
      <c r="G140" s="226"/>
    </row>
    <row r="141" spans="7:7" ht="13">
      <c r="G141" s="226"/>
    </row>
    <row r="142" spans="7:7" ht="13">
      <c r="G142" s="226"/>
    </row>
    <row r="143" spans="7:7" ht="13">
      <c r="G143" s="226"/>
    </row>
    <row r="144" spans="7:7" ht="13">
      <c r="G144" s="226"/>
    </row>
    <row r="145" spans="7:7" ht="13">
      <c r="G145" s="226"/>
    </row>
    <row r="146" spans="7:7" ht="13">
      <c r="G146" s="226"/>
    </row>
    <row r="147" spans="7:7" ht="13">
      <c r="G147" s="226"/>
    </row>
    <row r="148" spans="7:7" ht="13">
      <c r="G148" s="226"/>
    </row>
    <row r="149" spans="7:7" ht="13">
      <c r="G149" s="226"/>
    </row>
    <row r="150" spans="7:7" ht="13">
      <c r="G150" s="226"/>
    </row>
    <row r="151" spans="7:7" ht="13">
      <c r="G151" s="226"/>
    </row>
    <row r="152" spans="7:7" ht="13">
      <c r="G152" s="226"/>
    </row>
    <row r="153" spans="7:7" ht="13">
      <c r="G153" s="226"/>
    </row>
    <row r="154" spans="7:7" ht="13">
      <c r="G154" s="226"/>
    </row>
    <row r="155" spans="7:7" ht="13">
      <c r="G155" s="226"/>
    </row>
    <row r="156" spans="7:7" ht="13">
      <c r="G156" s="226"/>
    </row>
    <row r="157" spans="7:7" ht="13">
      <c r="G157" s="226"/>
    </row>
    <row r="158" spans="7:7" ht="13">
      <c r="G158" s="226"/>
    </row>
    <row r="159" spans="7:7" ht="13">
      <c r="G159" s="226"/>
    </row>
    <row r="160" spans="7:7" ht="13">
      <c r="G160" s="226"/>
    </row>
    <row r="161" spans="7:7" ht="13">
      <c r="G161" s="226"/>
    </row>
    <row r="162" spans="7:7" ht="13">
      <c r="G162" s="226"/>
    </row>
    <row r="163" spans="7:7" ht="13">
      <c r="G163" s="226"/>
    </row>
    <row r="164" spans="7:7" ht="13">
      <c r="G164" s="226"/>
    </row>
    <row r="165" spans="7:7" ht="13">
      <c r="G165" s="226"/>
    </row>
    <row r="166" spans="7:7" ht="13">
      <c r="G166" s="226"/>
    </row>
    <row r="167" spans="7:7" ht="13">
      <c r="G167" s="226"/>
    </row>
    <row r="168" spans="7:7" ht="13">
      <c r="G168" s="226"/>
    </row>
    <row r="169" spans="7:7" ht="13">
      <c r="G169" s="226"/>
    </row>
    <row r="170" spans="7:7" ht="13">
      <c r="G170" s="226"/>
    </row>
    <row r="171" spans="7:7" ht="13">
      <c r="G171" s="226"/>
    </row>
    <row r="172" spans="7:7" ht="13">
      <c r="G172" s="226"/>
    </row>
    <row r="173" spans="7:7" ht="13">
      <c r="G173" s="226"/>
    </row>
    <row r="174" spans="7:7" ht="13">
      <c r="G174" s="226"/>
    </row>
    <row r="175" spans="7:7" ht="13">
      <c r="G175" s="226"/>
    </row>
    <row r="176" spans="7:7" ht="13">
      <c r="G176" s="226"/>
    </row>
    <row r="177" spans="7:7" ht="13">
      <c r="G177" s="226"/>
    </row>
    <row r="178" spans="7:7" ht="13">
      <c r="G178" s="226"/>
    </row>
    <row r="179" spans="7:7" ht="13">
      <c r="G179" s="226"/>
    </row>
    <row r="180" spans="7:7" ht="13">
      <c r="G180" s="226"/>
    </row>
    <row r="181" spans="7:7" ht="13">
      <c r="G181" s="226"/>
    </row>
    <row r="182" spans="7:7" ht="13">
      <c r="G182" s="226"/>
    </row>
    <row r="183" spans="7:7" ht="13">
      <c r="G183" s="226"/>
    </row>
    <row r="184" spans="7:7" ht="13">
      <c r="G184" s="226"/>
    </row>
    <row r="185" spans="7:7" ht="13">
      <c r="G185" s="226"/>
    </row>
    <row r="186" spans="7:7" ht="13">
      <c r="G186" s="226"/>
    </row>
    <row r="187" spans="7:7" ht="13">
      <c r="G187" s="226"/>
    </row>
    <row r="188" spans="7:7" ht="13">
      <c r="G188" s="226"/>
    </row>
    <row r="189" spans="7:7" ht="13">
      <c r="G189" s="226"/>
    </row>
    <row r="190" spans="7:7" ht="13">
      <c r="G190" s="226"/>
    </row>
    <row r="191" spans="7:7" ht="13">
      <c r="G191" s="226"/>
    </row>
    <row r="192" spans="7:7" ht="13">
      <c r="G192" s="226"/>
    </row>
    <row r="193" spans="7:7" ht="13">
      <c r="G193" s="226"/>
    </row>
    <row r="194" spans="7:7" ht="13">
      <c r="G194" s="226"/>
    </row>
    <row r="195" spans="7:7" ht="13">
      <c r="G195" s="226"/>
    </row>
    <row r="196" spans="7:7" ht="13">
      <c r="G196" s="226"/>
    </row>
    <row r="197" spans="7:7" ht="13">
      <c r="G197" s="226"/>
    </row>
    <row r="198" spans="7:7" ht="13">
      <c r="G198" s="226"/>
    </row>
    <row r="199" spans="7:7" ht="13">
      <c r="G199" s="226"/>
    </row>
    <row r="200" spans="7:7" ht="13">
      <c r="G200" s="226"/>
    </row>
    <row r="201" spans="7:7" ht="13">
      <c r="G201" s="226"/>
    </row>
    <row r="202" spans="7:7" ht="13">
      <c r="G202" s="226"/>
    </row>
    <row r="203" spans="7:7" ht="13">
      <c r="G203" s="226"/>
    </row>
    <row r="204" spans="7:7" ht="13">
      <c r="G204" s="226"/>
    </row>
    <row r="205" spans="7:7" ht="13">
      <c r="G205" s="226"/>
    </row>
    <row r="206" spans="7:7" ht="13">
      <c r="G206" s="226"/>
    </row>
    <row r="207" spans="7:7" ht="13">
      <c r="G207" s="226"/>
    </row>
    <row r="208" spans="7:7" ht="13">
      <c r="G208" s="226"/>
    </row>
    <row r="209" spans="7:7" ht="13">
      <c r="G209" s="226"/>
    </row>
    <row r="210" spans="7:7" ht="13">
      <c r="G210" s="226"/>
    </row>
    <row r="211" spans="7:7" ht="13">
      <c r="G211" s="226"/>
    </row>
    <row r="212" spans="7:7" ht="13">
      <c r="G212" s="226"/>
    </row>
    <row r="213" spans="7:7" ht="13">
      <c r="G213" s="226"/>
    </row>
    <row r="214" spans="7:7" ht="13">
      <c r="G214" s="226"/>
    </row>
    <row r="215" spans="7:7" ht="13">
      <c r="G215" s="226"/>
    </row>
    <row r="216" spans="7:7" ht="13">
      <c r="G216" s="226"/>
    </row>
    <row r="217" spans="7:7" ht="13">
      <c r="G217" s="226"/>
    </row>
    <row r="218" spans="7:7" ht="13">
      <c r="G218" s="226"/>
    </row>
    <row r="219" spans="7:7" ht="13">
      <c r="G219" s="226"/>
    </row>
    <row r="220" spans="7:7" ht="13">
      <c r="G220" s="226"/>
    </row>
    <row r="221" spans="7:7" ht="13">
      <c r="G221" s="226"/>
    </row>
    <row r="222" spans="7:7" ht="13">
      <c r="G222" s="226"/>
    </row>
    <row r="223" spans="7:7" ht="13">
      <c r="G223" s="226"/>
    </row>
    <row r="224" spans="7:7" ht="13">
      <c r="G224" s="226"/>
    </row>
    <row r="225" spans="7:7" ht="13">
      <c r="G225" s="226"/>
    </row>
    <row r="226" spans="7:7" ht="13">
      <c r="G226" s="226"/>
    </row>
    <row r="227" spans="7:7" ht="13">
      <c r="G227" s="226"/>
    </row>
    <row r="228" spans="7:7" ht="13">
      <c r="G228" s="226"/>
    </row>
    <row r="229" spans="7:7" ht="13">
      <c r="G229" s="226"/>
    </row>
    <row r="230" spans="7:7" ht="13">
      <c r="G230" s="226"/>
    </row>
    <row r="231" spans="7:7" ht="13">
      <c r="G231" s="226"/>
    </row>
    <row r="232" spans="7:7" ht="13">
      <c r="G232" s="226"/>
    </row>
    <row r="233" spans="7:7" ht="13">
      <c r="G233" s="226"/>
    </row>
    <row r="234" spans="7:7" ht="13">
      <c r="G234" s="226"/>
    </row>
    <row r="235" spans="7:7" ht="13">
      <c r="G235" s="226"/>
    </row>
    <row r="236" spans="7:7" ht="13">
      <c r="G236" s="226"/>
    </row>
    <row r="237" spans="7:7" ht="13">
      <c r="G237" s="226"/>
    </row>
    <row r="238" spans="7:7" ht="13">
      <c r="G238" s="226"/>
    </row>
    <row r="239" spans="7:7" ht="13">
      <c r="G239" s="226"/>
    </row>
    <row r="240" spans="7:7" ht="13">
      <c r="G240" s="226"/>
    </row>
    <row r="241" spans="7:7" ht="13">
      <c r="G241" s="226"/>
    </row>
    <row r="242" spans="7:7" ht="13">
      <c r="G242" s="226"/>
    </row>
    <row r="243" spans="7:7" ht="13">
      <c r="G243" s="226"/>
    </row>
    <row r="244" spans="7:7" ht="13">
      <c r="G244" s="226"/>
    </row>
    <row r="245" spans="7:7" ht="13">
      <c r="G245" s="226"/>
    </row>
    <row r="246" spans="7:7" ht="13">
      <c r="G246" s="226"/>
    </row>
    <row r="247" spans="7:7" ht="13">
      <c r="G247" s="226"/>
    </row>
    <row r="248" spans="7:7" ht="13">
      <c r="G248" s="226"/>
    </row>
    <row r="249" spans="7:7" ht="13">
      <c r="G249" s="226"/>
    </row>
    <row r="250" spans="7:7" ht="13">
      <c r="G250" s="226"/>
    </row>
    <row r="251" spans="7:7" ht="13">
      <c r="G251" s="226"/>
    </row>
    <row r="252" spans="7:7" ht="13">
      <c r="G252" s="226"/>
    </row>
    <row r="253" spans="7:7" ht="13">
      <c r="G253" s="226"/>
    </row>
    <row r="254" spans="7:7" ht="13">
      <c r="G254" s="226"/>
    </row>
    <row r="255" spans="7:7" ht="13">
      <c r="G255" s="226"/>
    </row>
    <row r="256" spans="7:7" ht="13">
      <c r="G256" s="226"/>
    </row>
    <row r="257" spans="7:7" ht="13">
      <c r="G257" s="226"/>
    </row>
    <row r="258" spans="7:7" ht="13">
      <c r="G258" s="226"/>
    </row>
    <row r="259" spans="7:7" ht="13">
      <c r="G259" s="226"/>
    </row>
    <row r="260" spans="7:7" ht="13">
      <c r="G260" s="226"/>
    </row>
    <row r="261" spans="7:7" ht="13">
      <c r="G261" s="226"/>
    </row>
    <row r="262" spans="7:7" ht="13">
      <c r="G262" s="226"/>
    </row>
    <row r="263" spans="7:7" ht="13">
      <c r="G263" s="226"/>
    </row>
    <row r="264" spans="7:7" ht="13">
      <c r="G264" s="226"/>
    </row>
    <row r="265" spans="7:7" ht="13">
      <c r="G265" s="226"/>
    </row>
    <row r="266" spans="7:7" ht="13">
      <c r="G266" s="226"/>
    </row>
    <row r="267" spans="7:7" ht="13">
      <c r="G267" s="226"/>
    </row>
    <row r="268" spans="7:7" ht="13">
      <c r="G268" s="226"/>
    </row>
    <row r="269" spans="7:7" ht="13">
      <c r="G269" s="226"/>
    </row>
    <row r="270" spans="7:7" ht="13">
      <c r="G270" s="226"/>
    </row>
    <row r="271" spans="7:7" ht="13">
      <c r="G271" s="226"/>
    </row>
    <row r="272" spans="7:7" ht="13">
      <c r="G272" s="226"/>
    </row>
    <row r="273" spans="7:7" ht="13">
      <c r="G273" s="226"/>
    </row>
    <row r="274" spans="7:7" ht="13">
      <c r="G274" s="226"/>
    </row>
    <row r="275" spans="7:7" ht="13">
      <c r="G275" s="226"/>
    </row>
    <row r="276" spans="7:7" ht="13">
      <c r="G276" s="226"/>
    </row>
    <row r="277" spans="7:7" ht="13">
      <c r="G277" s="226"/>
    </row>
    <row r="278" spans="7:7" ht="13">
      <c r="G278" s="226"/>
    </row>
    <row r="279" spans="7:7" ht="13">
      <c r="G279" s="226"/>
    </row>
    <row r="280" spans="7:7" ht="13">
      <c r="G280" s="226"/>
    </row>
    <row r="281" spans="7:7" ht="13">
      <c r="G281" s="226"/>
    </row>
    <row r="282" spans="7:7" ht="13">
      <c r="G282" s="226"/>
    </row>
    <row r="283" spans="7:7" ht="13">
      <c r="G283" s="226"/>
    </row>
    <row r="284" spans="7:7" ht="13">
      <c r="G284" s="226"/>
    </row>
    <row r="285" spans="7:7" ht="13">
      <c r="G285" s="226"/>
    </row>
    <row r="286" spans="7:7" ht="13">
      <c r="G286" s="226"/>
    </row>
    <row r="287" spans="7:7" ht="13">
      <c r="G287" s="226"/>
    </row>
    <row r="288" spans="7:7" ht="13">
      <c r="G288" s="226"/>
    </row>
    <row r="289" spans="7:7" ht="13">
      <c r="G289" s="226"/>
    </row>
    <row r="290" spans="7:7" ht="13">
      <c r="G290" s="226"/>
    </row>
    <row r="291" spans="7:7" ht="13">
      <c r="G291" s="226"/>
    </row>
    <row r="292" spans="7:7" ht="13">
      <c r="G292" s="226"/>
    </row>
    <row r="293" spans="7:7" ht="13">
      <c r="G293" s="226"/>
    </row>
    <row r="294" spans="7:7" ht="13">
      <c r="G294" s="226"/>
    </row>
    <row r="295" spans="7:7" ht="13">
      <c r="G295" s="226"/>
    </row>
    <row r="296" spans="7:7" ht="13">
      <c r="G296" s="226"/>
    </row>
    <row r="297" spans="7:7" ht="13">
      <c r="G297" s="226"/>
    </row>
    <row r="298" spans="7:7" ht="13">
      <c r="G298" s="226"/>
    </row>
    <row r="299" spans="7:7" ht="13">
      <c r="G299" s="226"/>
    </row>
    <row r="300" spans="7:7" ht="13">
      <c r="G300" s="226"/>
    </row>
    <row r="301" spans="7:7" ht="13">
      <c r="G301" s="226"/>
    </row>
    <row r="302" spans="7:7" ht="13">
      <c r="G302" s="226"/>
    </row>
    <row r="303" spans="7:7" ht="13">
      <c r="G303" s="226"/>
    </row>
    <row r="304" spans="7:7" ht="13">
      <c r="G304" s="226"/>
    </row>
    <row r="305" spans="7:7" ht="13">
      <c r="G305" s="226"/>
    </row>
    <row r="306" spans="7:7" ht="13">
      <c r="G306" s="226"/>
    </row>
    <row r="307" spans="7:7" ht="13">
      <c r="G307" s="226"/>
    </row>
    <row r="308" spans="7:7" ht="13">
      <c r="G308" s="226"/>
    </row>
    <row r="309" spans="7:7" ht="13">
      <c r="G309" s="226"/>
    </row>
    <row r="310" spans="7:7" ht="13">
      <c r="G310" s="226"/>
    </row>
    <row r="311" spans="7:7" ht="13">
      <c r="G311" s="226"/>
    </row>
    <row r="312" spans="7:7" ht="13">
      <c r="G312" s="226"/>
    </row>
    <row r="313" spans="7:7" ht="13">
      <c r="G313" s="226"/>
    </row>
    <row r="314" spans="7:7" ht="13">
      <c r="G314" s="226"/>
    </row>
    <row r="315" spans="7:7" ht="13">
      <c r="G315" s="226"/>
    </row>
    <row r="316" spans="7:7" ht="13">
      <c r="G316" s="226"/>
    </row>
    <row r="317" spans="7:7" ht="13">
      <c r="G317" s="226"/>
    </row>
    <row r="318" spans="7:7" ht="13">
      <c r="G318" s="226"/>
    </row>
    <row r="319" spans="7:7" ht="13">
      <c r="G319" s="226"/>
    </row>
    <row r="320" spans="7:7" ht="13">
      <c r="G320" s="226"/>
    </row>
    <row r="321" spans="7:7" ht="13">
      <c r="G321" s="226"/>
    </row>
    <row r="322" spans="7:7" ht="13">
      <c r="G322" s="226"/>
    </row>
    <row r="323" spans="7:7" ht="13">
      <c r="G323" s="226"/>
    </row>
    <row r="324" spans="7:7" ht="13">
      <c r="G324" s="226"/>
    </row>
    <row r="325" spans="7:7" ht="13">
      <c r="G325" s="226"/>
    </row>
    <row r="326" spans="7:7" ht="13">
      <c r="G326" s="226"/>
    </row>
    <row r="327" spans="7:7" ht="13">
      <c r="G327" s="226"/>
    </row>
    <row r="328" spans="7:7" ht="13">
      <c r="G328" s="226"/>
    </row>
    <row r="329" spans="7:7" ht="13">
      <c r="G329" s="226"/>
    </row>
    <row r="330" spans="7:7" ht="13">
      <c r="G330" s="226"/>
    </row>
    <row r="331" spans="7:7" ht="13">
      <c r="G331" s="226"/>
    </row>
    <row r="332" spans="7:7" ht="13">
      <c r="G332" s="226"/>
    </row>
    <row r="333" spans="7:7" ht="13">
      <c r="G333" s="226"/>
    </row>
    <row r="334" spans="7:7" ht="13">
      <c r="G334" s="226"/>
    </row>
    <row r="335" spans="7:7" ht="13">
      <c r="G335" s="226"/>
    </row>
    <row r="336" spans="7:7" ht="13">
      <c r="G336" s="226"/>
    </row>
    <row r="337" spans="7:7" ht="13">
      <c r="G337" s="226"/>
    </row>
    <row r="338" spans="7:7" ht="13">
      <c r="G338" s="226"/>
    </row>
    <row r="339" spans="7:7" ht="13">
      <c r="G339" s="226"/>
    </row>
    <row r="340" spans="7:7" ht="13">
      <c r="G340" s="226"/>
    </row>
    <row r="341" spans="7:7" ht="13">
      <c r="G341" s="226"/>
    </row>
    <row r="342" spans="7:7" ht="13">
      <c r="G342" s="226"/>
    </row>
    <row r="343" spans="7:7" ht="13">
      <c r="G343" s="226"/>
    </row>
    <row r="344" spans="7:7" ht="13">
      <c r="G344" s="226"/>
    </row>
    <row r="345" spans="7:7" ht="13">
      <c r="G345" s="226"/>
    </row>
    <row r="346" spans="7:7" ht="13">
      <c r="G346" s="226"/>
    </row>
    <row r="347" spans="7:7" ht="13">
      <c r="G347" s="226"/>
    </row>
    <row r="348" spans="7:7" ht="13">
      <c r="G348" s="226"/>
    </row>
    <row r="349" spans="7:7" ht="13">
      <c r="G349" s="226"/>
    </row>
    <row r="350" spans="7:7" ht="13">
      <c r="G350" s="226"/>
    </row>
    <row r="351" spans="7:7" ht="13">
      <c r="G351" s="226"/>
    </row>
    <row r="352" spans="7:7" ht="13">
      <c r="G352" s="226"/>
    </row>
    <row r="353" spans="7:7" ht="13">
      <c r="G353" s="226"/>
    </row>
    <row r="354" spans="7:7" ht="13">
      <c r="G354" s="226"/>
    </row>
    <row r="355" spans="7:7" ht="13">
      <c r="G355" s="226"/>
    </row>
    <row r="356" spans="7:7" ht="13">
      <c r="G356" s="226"/>
    </row>
    <row r="357" spans="7:7" ht="13">
      <c r="G357" s="226"/>
    </row>
    <row r="358" spans="7:7" ht="13">
      <c r="G358" s="226"/>
    </row>
    <row r="359" spans="7:7" ht="13">
      <c r="G359" s="226"/>
    </row>
    <row r="360" spans="7:7" ht="13">
      <c r="G360" s="226"/>
    </row>
    <row r="361" spans="7:7" ht="13">
      <c r="G361" s="226"/>
    </row>
    <row r="362" spans="7:7" ht="13">
      <c r="G362" s="226"/>
    </row>
    <row r="363" spans="7:7" ht="13">
      <c r="G363" s="226"/>
    </row>
    <row r="364" spans="7:7" ht="13">
      <c r="G364" s="226"/>
    </row>
    <row r="365" spans="7:7" ht="13">
      <c r="G365" s="226"/>
    </row>
    <row r="366" spans="7:7" ht="13">
      <c r="G366" s="226"/>
    </row>
    <row r="367" spans="7:7" ht="13">
      <c r="G367" s="226"/>
    </row>
    <row r="368" spans="7:7" ht="13">
      <c r="G368" s="226"/>
    </row>
    <row r="369" spans="7:7" ht="13">
      <c r="G369" s="226"/>
    </row>
    <row r="370" spans="7:7" ht="13">
      <c r="G370" s="226"/>
    </row>
    <row r="371" spans="7:7" ht="13">
      <c r="G371" s="226"/>
    </row>
    <row r="372" spans="7:7" ht="13">
      <c r="G372" s="226"/>
    </row>
    <row r="373" spans="7:7" ht="13">
      <c r="G373" s="226"/>
    </row>
    <row r="374" spans="7:7" ht="13">
      <c r="G374" s="226"/>
    </row>
    <row r="375" spans="7:7" ht="13">
      <c r="G375" s="226"/>
    </row>
    <row r="376" spans="7:7" ht="13">
      <c r="G376" s="226"/>
    </row>
    <row r="377" spans="7:7" ht="13">
      <c r="G377" s="226"/>
    </row>
    <row r="378" spans="7:7" ht="13">
      <c r="G378" s="226"/>
    </row>
    <row r="379" spans="7:7" ht="13">
      <c r="G379" s="226"/>
    </row>
    <row r="380" spans="7:7" ht="13">
      <c r="G380" s="226"/>
    </row>
    <row r="381" spans="7:7" ht="13">
      <c r="G381" s="226"/>
    </row>
    <row r="382" spans="7:7" ht="13">
      <c r="G382" s="226"/>
    </row>
    <row r="383" spans="7:7" ht="13">
      <c r="G383" s="226"/>
    </row>
    <row r="384" spans="7:7" ht="13">
      <c r="G384" s="226"/>
    </row>
    <row r="385" spans="7:7" ht="13">
      <c r="G385" s="226"/>
    </row>
    <row r="386" spans="7:7" ht="13">
      <c r="G386" s="226"/>
    </row>
    <row r="387" spans="7:7" ht="13">
      <c r="G387" s="226"/>
    </row>
    <row r="388" spans="7:7" ht="13">
      <c r="G388" s="226"/>
    </row>
    <row r="389" spans="7:7" ht="13">
      <c r="G389" s="226"/>
    </row>
    <row r="390" spans="7:7" ht="13">
      <c r="G390" s="226"/>
    </row>
    <row r="391" spans="7:7" ht="13">
      <c r="G391" s="226"/>
    </row>
    <row r="392" spans="7:7" ht="13">
      <c r="G392" s="226"/>
    </row>
    <row r="393" spans="7:7" ht="13">
      <c r="G393" s="226"/>
    </row>
    <row r="394" spans="7:7" ht="13">
      <c r="G394" s="226"/>
    </row>
    <row r="395" spans="7:7" ht="13">
      <c r="G395" s="226"/>
    </row>
    <row r="396" spans="7:7" ht="13">
      <c r="G396" s="226"/>
    </row>
    <row r="397" spans="7:7" ht="13">
      <c r="G397" s="226"/>
    </row>
    <row r="398" spans="7:7" ht="13">
      <c r="G398" s="226"/>
    </row>
    <row r="399" spans="7:7" ht="13">
      <c r="G399" s="226"/>
    </row>
    <row r="400" spans="7:7" ht="13">
      <c r="G400" s="226"/>
    </row>
    <row r="401" spans="7:7" ht="13">
      <c r="G401" s="226"/>
    </row>
    <row r="402" spans="7:7" ht="13">
      <c r="G402" s="226"/>
    </row>
    <row r="403" spans="7:7" ht="13">
      <c r="G403" s="226"/>
    </row>
    <row r="404" spans="7:7" ht="13">
      <c r="G404" s="226"/>
    </row>
    <row r="405" spans="7:7" ht="13">
      <c r="G405" s="226"/>
    </row>
    <row r="406" spans="7:7" ht="13">
      <c r="G406" s="226"/>
    </row>
    <row r="407" spans="7:7" ht="13">
      <c r="G407" s="226"/>
    </row>
    <row r="408" spans="7:7" ht="13">
      <c r="G408" s="226"/>
    </row>
    <row r="409" spans="7:7" ht="13">
      <c r="G409" s="226"/>
    </row>
    <row r="410" spans="7:7" ht="13">
      <c r="G410" s="226"/>
    </row>
    <row r="411" spans="7:7" ht="13">
      <c r="G411" s="226"/>
    </row>
    <row r="412" spans="7:7" ht="13">
      <c r="G412" s="226"/>
    </row>
    <row r="413" spans="7:7" ht="13">
      <c r="G413" s="226"/>
    </row>
    <row r="414" spans="7:7" ht="13">
      <c r="G414" s="226"/>
    </row>
    <row r="415" spans="7:7" ht="13">
      <c r="G415" s="226"/>
    </row>
    <row r="416" spans="7:7" ht="13">
      <c r="G416" s="226"/>
    </row>
    <row r="417" spans="7:7" ht="13">
      <c r="G417" s="226"/>
    </row>
    <row r="418" spans="7:7" ht="13">
      <c r="G418" s="226"/>
    </row>
    <row r="419" spans="7:7" ht="13">
      <c r="G419" s="226"/>
    </row>
    <row r="420" spans="7:7" ht="13">
      <c r="G420" s="226"/>
    </row>
    <row r="421" spans="7:7" ht="13">
      <c r="G421" s="226"/>
    </row>
    <row r="422" spans="7:7" ht="13">
      <c r="G422" s="226"/>
    </row>
    <row r="423" spans="7:7" ht="13">
      <c r="G423" s="226"/>
    </row>
    <row r="424" spans="7:7" ht="13">
      <c r="G424" s="226"/>
    </row>
    <row r="425" spans="7:7" ht="13">
      <c r="G425" s="226"/>
    </row>
    <row r="426" spans="7:7" ht="13">
      <c r="G426" s="226"/>
    </row>
    <row r="427" spans="7:7" ht="13">
      <c r="G427" s="226"/>
    </row>
    <row r="428" spans="7:7" ht="13">
      <c r="G428" s="226"/>
    </row>
    <row r="429" spans="7:7" ht="13">
      <c r="G429" s="226"/>
    </row>
    <row r="430" spans="7:7" ht="13">
      <c r="G430" s="226"/>
    </row>
    <row r="431" spans="7:7" ht="13">
      <c r="G431" s="226"/>
    </row>
    <row r="432" spans="7:7" ht="13">
      <c r="G432" s="226"/>
    </row>
    <row r="433" spans="7:7" ht="13">
      <c r="G433" s="226"/>
    </row>
    <row r="434" spans="7:7" ht="13">
      <c r="G434" s="226"/>
    </row>
    <row r="435" spans="7:7" ht="13">
      <c r="G435" s="226"/>
    </row>
    <row r="436" spans="7:7" ht="13">
      <c r="G436" s="226"/>
    </row>
    <row r="437" spans="7:7" ht="13">
      <c r="G437" s="226"/>
    </row>
    <row r="438" spans="7:7" ht="13">
      <c r="G438" s="226"/>
    </row>
    <row r="439" spans="7:7" ht="13">
      <c r="G439" s="226"/>
    </row>
    <row r="440" spans="7:7" ht="13">
      <c r="G440" s="226"/>
    </row>
    <row r="441" spans="7:7" ht="13">
      <c r="G441" s="226"/>
    </row>
    <row r="442" spans="7:7" ht="13">
      <c r="G442" s="226"/>
    </row>
    <row r="443" spans="7:7" ht="13">
      <c r="G443" s="226"/>
    </row>
    <row r="444" spans="7:7" ht="13">
      <c r="G444" s="226"/>
    </row>
    <row r="445" spans="7:7" ht="13">
      <c r="G445" s="226"/>
    </row>
    <row r="446" spans="7:7" ht="13">
      <c r="G446" s="226"/>
    </row>
    <row r="447" spans="7:7" ht="13">
      <c r="G447" s="226"/>
    </row>
    <row r="448" spans="7:7" ht="13">
      <c r="G448" s="226"/>
    </row>
    <row r="449" spans="7:7" ht="13">
      <c r="G449" s="226"/>
    </row>
    <row r="450" spans="7:7" ht="13">
      <c r="G450" s="226"/>
    </row>
    <row r="451" spans="7:7" ht="13">
      <c r="G451" s="226"/>
    </row>
    <row r="452" spans="7:7" ht="13">
      <c r="G452" s="226"/>
    </row>
    <row r="453" spans="7:7" ht="13">
      <c r="G453" s="226"/>
    </row>
    <row r="454" spans="7:7" ht="13">
      <c r="G454" s="226"/>
    </row>
    <row r="455" spans="7:7" ht="13">
      <c r="G455" s="226"/>
    </row>
    <row r="456" spans="7:7" ht="13">
      <c r="G456" s="226"/>
    </row>
    <row r="457" spans="7:7" ht="13">
      <c r="G457" s="226"/>
    </row>
    <row r="458" spans="7:7" ht="13">
      <c r="G458" s="226"/>
    </row>
    <row r="459" spans="7:7" ht="13">
      <c r="G459" s="226"/>
    </row>
    <row r="460" spans="7:7" ht="13">
      <c r="G460" s="226"/>
    </row>
    <row r="461" spans="7:7" ht="13">
      <c r="G461" s="226"/>
    </row>
    <row r="462" spans="7:7" ht="13">
      <c r="G462" s="226"/>
    </row>
    <row r="463" spans="7:7" ht="13">
      <c r="G463" s="226"/>
    </row>
    <row r="464" spans="7:7" ht="13">
      <c r="G464" s="226"/>
    </row>
    <row r="465" spans="7:7" ht="13">
      <c r="G465" s="226"/>
    </row>
    <row r="466" spans="7:7" ht="13">
      <c r="G466" s="226"/>
    </row>
    <row r="467" spans="7:7" ht="13">
      <c r="G467" s="226"/>
    </row>
    <row r="468" spans="7:7" ht="13">
      <c r="G468" s="226"/>
    </row>
    <row r="469" spans="7:7" ht="13">
      <c r="G469" s="226"/>
    </row>
    <row r="470" spans="7:7" ht="13">
      <c r="G470" s="226"/>
    </row>
    <row r="471" spans="7:7" ht="13">
      <c r="G471" s="226"/>
    </row>
    <row r="472" spans="7:7" ht="13">
      <c r="G472" s="226"/>
    </row>
    <row r="473" spans="7:7" ht="13">
      <c r="G473" s="226"/>
    </row>
    <row r="474" spans="7:7" ht="13">
      <c r="G474" s="226"/>
    </row>
    <row r="475" spans="7:7" ht="13">
      <c r="G475" s="226"/>
    </row>
    <row r="476" spans="7:7" ht="13">
      <c r="G476" s="226"/>
    </row>
    <row r="477" spans="7:7" ht="13">
      <c r="G477" s="226"/>
    </row>
    <row r="478" spans="7:7" ht="13">
      <c r="G478" s="226"/>
    </row>
    <row r="479" spans="7:7" ht="13">
      <c r="G479" s="226"/>
    </row>
    <row r="480" spans="7:7" ht="13">
      <c r="G480" s="226"/>
    </row>
    <row r="481" spans="7:7" ht="13">
      <c r="G481" s="226"/>
    </row>
    <row r="482" spans="7:7" ht="13">
      <c r="G482" s="226"/>
    </row>
    <row r="483" spans="7:7" ht="13">
      <c r="G483" s="226"/>
    </row>
    <row r="484" spans="7:7" ht="13">
      <c r="G484" s="226"/>
    </row>
    <row r="485" spans="7:7" ht="13">
      <c r="G485" s="226"/>
    </row>
    <row r="486" spans="7:7" ht="13">
      <c r="G486" s="226"/>
    </row>
    <row r="487" spans="7:7" ht="13">
      <c r="G487" s="226"/>
    </row>
    <row r="488" spans="7:7" ht="13">
      <c r="G488" s="226"/>
    </row>
    <row r="489" spans="7:7" ht="13">
      <c r="G489" s="226"/>
    </row>
    <row r="490" spans="7:7" ht="13">
      <c r="G490" s="226"/>
    </row>
    <row r="491" spans="7:7" ht="13">
      <c r="G491" s="226"/>
    </row>
    <row r="492" spans="7:7" ht="13">
      <c r="G492" s="226"/>
    </row>
    <row r="493" spans="7:7" ht="13">
      <c r="G493" s="226"/>
    </row>
    <row r="494" spans="7:7" ht="13">
      <c r="G494" s="226"/>
    </row>
    <row r="495" spans="7:7" ht="13">
      <c r="G495" s="226"/>
    </row>
    <row r="496" spans="7:7" ht="13">
      <c r="G496" s="226"/>
    </row>
    <row r="497" spans="7:7" ht="13">
      <c r="G497" s="226"/>
    </row>
    <row r="498" spans="7:7" ht="13">
      <c r="G498" s="226"/>
    </row>
    <row r="499" spans="7:7" ht="13">
      <c r="G499" s="226"/>
    </row>
    <row r="500" spans="7:7" ht="13">
      <c r="G500" s="226"/>
    </row>
    <row r="501" spans="7:7" ht="13">
      <c r="G501" s="226"/>
    </row>
    <row r="502" spans="7:7" ht="13">
      <c r="G502" s="226"/>
    </row>
    <row r="503" spans="7:7" ht="13">
      <c r="G503" s="226"/>
    </row>
    <row r="504" spans="7:7" ht="13">
      <c r="G504" s="226"/>
    </row>
    <row r="505" spans="7:7" ht="13">
      <c r="G505" s="226"/>
    </row>
    <row r="506" spans="7:7" ht="13">
      <c r="G506" s="226"/>
    </row>
    <row r="507" spans="7:7" ht="13">
      <c r="G507" s="226"/>
    </row>
    <row r="508" spans="7:7" ht="13">
      <c r="G508" s="226"/>
    </row>
    <row r="509" spans="7:7" ht="13">
      <c r="G509" s="226"/>
    </row>
    <row r="510" spans="7:7" ht="13">
      <c r="G510" s="226"/>
    </row>
    <row r="511" spans="7:7" ht="13">
      <c r="G511" s="226"/>
    </row>
    <row r="512" spans="7:7" ht="13">
      <c r="G512" s="226"/>
    </row>
    <row r="513" spans="7:7" ht="13">
      <c r="G513" s="226"/>
    </row>
    <row r="514" spans="7:7" ht="13">
      <c r="G514" s="226"/>
    </row>
    <row r="515" spans="7:7" ht="13">
      <c r="G515" s="226"/>
    </row>
    <row r="516" spans="7:7" ht="13">
      <c r="G516" s="226"/>
    </row>
    <row r="517" spans="7:7" ht="13">
      <c r="G517" s="226"/>
    </row>
    <row r="518" spans="7:7" ht="13">
      <c r="G518" s="226"/>
    </row>
    <row r="519" spans="7:7" ht="13">
      <c r="G519" s="226"/>
    </row>
    <row r="520" spans="7:7" ht="13">
      <c r="G520" s="226"/>
    </row>
    <row r="521" spans="7:7" ht="13">
      <c r="G521" s="226"/>
    </row>
    <row r="522" spans="7:7" ht="13">
      <c r="G522" s="226"/>
    </row>
    <row r="523" spans="7:7" ht="13">
      <c r="G523" s="226"/>
    </row>
    <row r="524" spans="7:7" ht="13">
      <c r="G524" s="226"/>
    </row>
    <row r="525" spans="7:7" ht="13">
      <c r="G525" s="226"/>
    </row>
    <row r="526" spans="7:7" ht="13">
      <c r="G526" s="226"/>
    </row>
    <row r="527" spans="7:7" ht="13">
      <c r="G527" s="226"/>
    </row>
    <row r="528" spans="7:7" ht="13">
      <c r="G528" s="226"/>
    </row>
    <row r="529" spans="7:7" ht="13">
      <c r="G529" s="226"/>
    </row>
    <row r="530" spans="7:7" ht="13">
      <c r="G530" s="226"/>
    </row>
    <row r="531" spans="7:7" ht="13">
      <c r="G531" s="226"/>
    </row>
    <row r="532" spans="7:7" ht="13">
      <c r="G532" s="226"/>
    </row>
    <row r="533" spans="7:7" ht="13">
      <c r="G533" s="226"/>
    </row>
    <row r="534" spans="7:7" ht="13">
      <c r="G534" s="226"/>
    </row>
    <row r="535" spans="7:7" ht="13">
      <c r="G535" s="226"/>
    </row>
    <row r="536" spans="7:7" ht="13">
      <c r="G536" s="226"/>
    </row>
    <row r="537" spans="7:7" ht="13">
      <c r="G537" s="226"/>
    </row>
    <row r="538" spans="7:7" ht="13">
      <c r="G538" s="226"/>
    </row>
    <row r="539" spans="7:7" ht="13">
      <c r="G539" s="226"/>
    </row>
    <row r="540" spans="7:7" ht="13">
      <c r="G540" s="226"/>
    </row>
    <row r="541" spans="7:7" ht="13">
      <c r="G541" s="226"/>
    </row>
    <row r="542" spans="7:7" ht="13">
      <c r="G542" s="226"/>
    </row>
    <row r="543" spans="7:7" ht="13">
      <c r="G543" s="226"/>
    </row>
    <row r="544" spans="7:7" ht="13">
      <c r="G544" s="226"/>
    </row>
    <row r="545" spans="7:7" ht="13">
      <c r="G545" s="226"/>
    </row>
    <row r="546" spans="7:7" ht="13">
      <c r="G546" s="226"/>
    </row>
    <row r="547" spans="7:7" ht="13">
      <c r="G547" s="226"/>
    </row>
    <row r="548" spans="7:7" ht="13">
      <c r="G548" s="226"/>
    </row>
    <row r="549" spans="7:7" ht="13">
      <c r="G549" s="226"/>
    </row>
    <row r="550" spans="7:7" ht="13">
      <c r="G550" s="226"/>
    </row>
    <row r="551" spans="7:7" ht="13">
      <c r="G551" s="226"/>
    </row>
    <row r="552" spans="7:7" ht="13">
      <c r="G552" s="226"/>
    </row>
    <row r="553" spans="7:7" ht="13">
      <c r="G553" s="226"/>
    </row>
    <row r="554" spans="7:7" ht="13">
      <c r="G554" s="226"/>
    </row>
    <row r="555" spans="7:7" ht="13">
      <c r="G555" s="226"/>
    </row>
    <row r="556" spans="7:7" ht="13">
      <c r="G556" s="226"/>
    </row>
    <row r="557" spans="7:7" ht="13">
      <c r="G557" s="226"/>
    </row>
    <row r="558" spans="7:7" ht="13">
      <c r="G558" s="226"/>
    </row>
    <row r="559" spans="7:7" ht="13">
      <c r="G559" s="226"/>
    </row>
    <row r="560" spans="7:7" ht="13">
      <c r="G560" s="226"/>
    </row>
    <row r="561" spans="7:7" ht="13">
      <c r="G561" s="226"/>
    </row>
    <row r="562" spans="7:7" ht="13">
      <c r="G562" s="226"/>
    </row>
    <row r="563" spans="7:7" ht="13">
      <c r="G563" s="226"/>
    </row>
    <row r="564" spans="7:7" ht="13">
      <c r="G564" s="226"/>
    </row>
    <row r="565" spans="7:7" ht="13">
      <c r="G565" s="226"/>
    </row>
    <row r="566" spans="7:7" ht="13">
      <c r="G566" s="226"/>
    </row>
    <row r="567" spans="7:7" ht="13">
      <c r="G567" s="226"/>
    </row>
    <row r="568" spans="7:7" ht="13">
      <c r="G568" s="226"/>
    </row>
    <row r="569" spans="7:7" ht="13">
      <c r="G569" s="226"/>
    </row>
    <row r="570" spans="7:7" ht="13">
      <c r="G570" s="226"/>
    </row>
    <row r="571" spans="7:7" ht="13">
      <c r="G571" s="226"/>
    </row>
    <row r="572" spans="7:7" ht="13">
      <c r="G572" s="226"/>
    </row>
    <row r="573" spans="7:7" ht="13">
      <c r="G573" s="226"/>
    </row>
    <row r="574" spans="7:7" ht="13">
      <c r="G574" s="226"/>
    </row>
    <row r="575" spans="7:7" ht="13">
      <c r="G575" s="226"/>
    </row>
    <row r="576" spans="7:7" ht="13">
      <c r="G576" s="226"/>
    </row>
    <row r="577" spans="7:7" ht="13">
      <c r="G577" s="226"/>
    </row>
    <row r="578" spans="7:7" ht="13">
      <c r="G578" s="226"/>
    </row>
    <row r="579" spans="7:7" ht="13">
      <c r="G579" s="226"/>
    </row>
    <row r="580" spans="7:7" ht="13">
      <c r="G580" s="226"/>
    </row>
    <row r="581" spans="7:7" ht="13">
      <c r="G581" s="226"/>
    </row>
    <row r="582" spans="7:7" ht="13">
      <c r="G582" s="226"/>
    </row>
    <row r="583" spans="7:7" ht="13">
      <c r="G583" s="226"/>
    </row>
    <row r="584" spans="7:7" ht="13">
      <c r="G584" s="226"/>
    </row>
    <row r="585" spans="7:7" ht="13">
      <c r="G585" s="226"/>
    </row>
    <row r="586" spans="7:7" ht="13">
      <c r="G586" s="226"/>
    </row>
    <row r="587" spans="7:7" ht="13">
      <c r="G587" s="226"/>
    </row>
    <row r="588" spans="7:7" ht="13">
      <c r="G588" s="226"/>
    </row>
    <row r="589" spans="7:7" ht="13">
      <c r="G589" s="226"/>
    </row>
    <row r="590" spans="7:7" ht="13">
      <c r="G590" s="226"/>
    </row>
    <row r="591" spans="7:7" ht="13">
      <c r="G591" s="226"/>
    </row>
    <row r="592" spans="7:7" ht="13">
      <c r="G592" s="226"/>
    </row>
    <row r="593" spans="7:7" ht="13">
      <c r="G593" s="226"/>
    </row>
    <row r="594" spans="7:7" ht="13">
      <c r="G594" s="226"/>
    </row>
    <row r="595" spans="7:7" ht="13">
      <c r="G595" s="226"/>
    </row>
    <row r="596" spans="7:7" ht="13">
      <c r="G596" s="226"/>
    </row>
    <row r="597" spans="7:7" ht="13">
      <c r="G597" s="226"/>
    </row>
    <row r="598" spans="7:7" ht="13">
      <c r="G598" s="226"/>
    </row>
    <row r="599" spans="7:7" ht="13">
      <c r="G599" s="226"/>
    </row>
    <row r="600" spans="7:7" ht="13">
      <c r="G600" s="226"/>
    </row>
    <row r="601" spans="7:7" ht="13">
      <c r="G601" s="226"/>
    </row>
    <row r="602" spans="7:7" ht="13">
      <c r="G602" s="226"/>
    </row>
    <row r="603" spans="7:7" ht="13">
      <c r="G603" s="226"/>
    </row>
    <row r="604" spans="7:7" ht="13">
      <c r="G604" s="226"/>
    </row>
    <row r="605" spans="7:7" ht="13">
      <c r="G605" s="226"/>
    </row>
    <row r="606" spans="7:7" ht="13">
      <c r="G606" s="226"/>
    </row>
    <row r="607" spans="7:7" ht="13">
      <c r="G607" s="226"/>
    </row>
    <row r="608" spans="7:7" ht="13">
      <c r="G608" s="226"/>
    </row>
    <row r="609" spans="7:7" ht="13">
      <c r="G609" s="226"/>
    </row>
    <row r="610" spans="7:7" ht="13">
      <c r="G610" s="226"/>
    </row>
    <row r="611" spans="7:7" ht="13">
      <c r="G611" s="226"/>
    </row>
    <row r="612" spans="7:7" ht="13">
      <c r="G612" s="226"/>
    </row>
    <row r="613" spans="7:7" ht="13">
      <c r="G613" s="226"/>
    </row>
    <row r="614" spans="7:7" ht="13">
      <c r="G614" s="226"/>
    </row>
    <row r="615" spans="7:7" ht="13">
      <c r="G615" s="226"/>
    </row>
    <row r="616" spans="7:7" ht="13">
      <c r="G616" s="226"/>
    </row>
    <row r="617" spans="7:7" ht="13">
      <c r="G617" s="226"/>
    </row>
    <row r="618" spans="7:7" ht="13">
      <c r="G618" s="226"/>
    </row>
    <row r="619" spans="7:7" ht="13">
      <c r="G619" s="226"/>
    </row>
    <row r="620" spans="7:7" ht="13">
      <c r="G620" s="226"/>
    </row>
    <row r="621" spans="7:7" ht="13">
      <c r="G621" s="226"/>
    </row>
    <row r="622" spans="7:7" ht="13">
      <c r="G622" s="226"/>
    </row>
    <row r="623" spans="7:7" ht="13">
      <c r="G623" s="226"/>
    </row>
    <row r="624" spans="7:7" ht="13">
      <c r="G624" s="226"/>
    </row>
    <row r="625" spans="7:7" ht="13">
      <c r="G625" s="226"/>
    </row>
    <row r="626" spans="7:7" ht="13">
      <c r="G626" s="226"/>
    </row>
    <row r="627" spans="7:7" ht="13">
      <c r="G627" s="226"/>
    </row>
    <row r="628" spans="7:7" ht="13">
      <c r="G628" s="226"/>
    </row>
    <row r="629" spans="7:7" ht="13">
      <c r="G629" s="226"/>
    </row>
    <row r="630" spans="7:7" ht="13">
      <c r="G630" s="226"/>
    </row>
    <row r="631" spans="7:7" ht="13">
      <c r="G631" s="226"/>
    </row>
    <row r="632" spans="7:7" ht="13">
      <c r="G632" s="226"/>
    </row>
    <row r="633" spans="7:7" ht="13">
      <c r="G633" s="226"/>
    </row>
    <row r="634" spans="7:7" ht="13">
      <c r="G634" s="226"/>
    </row>
    <row r="635" spans="7:7" ht="13">
      <c r="G635" s="226"/>
    </row>
    <row r="636" spans="7:7" ht="13">
      <c r="G636" s="226"/>
    </row>
    <row r="637" spans="7:7" ht="13">
      <c r="G637" s="226"/>
    </row>
    <row r="638" spans="7:7" ht="13">
      <c r="G638" s="226"/>
    </row>
    <row r="639" spans="7:7" ht="13">
      <c r="G639" s="226"/>
    </row>
    <row r="640" spans="7:7" ht="13">
      <c r="G640" s="226"/>
    </row>
    <row r="641" spans="7:7" ht="13">
      <c r="G641" s="226"/>
    </row>
    <row r="642" spans="7:7" ht="13">
      <c r="G642" s="226"/>
    </row>
    <row r="643" spans="7:7" ht="13">
      <c r="G643" s="226"/>
    </row>
    <row r="644" spans="7:7" ht="13">
      <c r="G644" s="226"/>
    </row>
    <row r="645" spans="7:7" ht="13">
      <c r="G645" s="226"/>
    </row>
    <row r="646" spans="7:7" ht="13">
      <c r="G646" s="226"/>
    </row>
    <row r="647" spans="7:7" ht="13">
      <c r="G647" s="226"/>
    </row>
    <row r="648" spans="7:7" ht="13">
      <c r="G648" s="226"/>
    </row>
    <row r="649" spans="7:7" ht="13">
      <c r="G649" s="226"/>
    </row>
    <row r="650" spans="7:7" ht="13">
      <c r="G650" s="226"/>
    </row>
    <row r="651" spans="7:7" ht="13">
      <c r="G651" s="226"/>
    </row>
    <row r="652" spans="7:7" ht="13">
      <c r="G652" s="226"/>
    </row>
    <row r="653" spans="7:7" ht="13">
      <c r="G653" s="226"/>
    </row>
    <row r="654" spans="7:7" ht="13">
      <c r="G654" s="226"/>
    </row>
    <row r="655" spans="7:7" ht="13">
      <c r="G655" s="226"/>
    </row>
    <row r="656" spans="7:7" ht="13">
      <c r="G656" s="226"/>
    </row>
    <row r="657" spans="7:7" ht="13">
      <c r="G657" s="226"/>
    </row>
    <row r="658" spans="7:7" ht="13">
      <c r="G658" s="226"/>
    </row>
    <row r="659" spans="7:7" ht="13">
      <c r="G659" s="226"/>
    </row>
    <row r="660" spans="7:7" ht="13">
      <c r="G660" s="226"/>
    </row>
    <row r="661" spans="7:7" ht="13">
      <c r="G661" s="226"/>
    </row>
    <row r="662" spans="7:7" ht="13">
      <c r="G662" s="226"/>
    </row>
    <row r="663" spans="7:7" ht="13">
      <c r="G663" s="226"/>
    </row>
    <row r="664" spans="7:7" ht="13">
      <c r="G664" s="226"/>
    </row>
    <row r="665" spans="7:7" ht="13">
      <c r="G665" s="226"/>
    </row>
    <row r="666" spans="7:7" ht="13">
      <c r="G666" s="226"/>
    </row>
    <row r="667" spans="7:7" ht="13">
      <c r="G667" s="226"/>
    </row>
    <row r="668" spans="7:7" ht="13">
      <c r="G668" s="226"/>
    </row>
    <row r="669" spans="7:7" ht="13">
      <c r="G669" s="226"/>
    </row>
    <row r="670" spans="7:7" ht="13">
      <c r="G670" s="226"/>
    </row>
    <row r="671" spans="7:7" ht="13">
      <c r="G671" s="226"/>
    </row>
    <row r="672" spans="7:7" ht="13">
      <c r="G672" s="226"/>
    </row>
    <row r="673" spans="7:7" ht="13">
      <c r="G673" s="226"/>
    </row>
    <row r="674" spans="7:7" ht="13">
      <c r="G674" s="226"/>
    </row>
    <row r="675" spans="7:7" ht="13">
      <c r="G675" s="226"/>
    </row>
    <row r="676" spans="7:7" ht="13">
      <c r="G676" s="226"/>
    </row>
    <row r="677" spans="7:7" ht="13">
      <c r="G677" s="226"/>
    </row>
    <row r="678" spans="7:7" ht="13">
      <c r="G678" s="226"/>
    </row>
    <row r="679" spans="7:7" ht="13">
      <c r="G679" s="226"/>
    </row>
    <row r="680" spans="7:7" ht="13">
      <c r="G680" s="226"/>
    </row>
    <row r="681" spans="7:7" ht="13">
      <c r="G681" s="226"/>
    </row>
    <row r="682" spans="7:7" ht="13">
      <c r="G682" s="226"/>
    </row>
    <row r="683" spans="7:7" ht="13">
      <c r="G683" s="226"/>
    </row>
    <row r="684" spans="7:7" ht="13">
      <c r="G684" s="226"/>
    </row>
    <row r="685" spans="7:7" ht="13">
      <c r="G685" s="226"/>
    </row>
    <row r="686" spans="7:7" ht="13">
      <c r="G686" s="226"/>
    </row>
    <row r="687" spans="7:7" ht="13">
      <c r="G687" s="226"/>
    </row>
    <row r="688" spans="7:7" ht="13">
      <c r="G688" s="226"/>
    </row>
    <row r="689" spans="7:7" ht="13">
      <c r="G689" s="226"/>
    </row>
    <row r="690" spans="7:7" ht="13">
      <c r="G690" s="226"/>
    </row>
    <row r="691" spans="7:7" ht="13">
      <c r="G691" s="226"/>
    </row>
    <row r="692" spans="7:7" ht="13">
      <c r="G692" s="226"/>
    </row>
    <row r="693" spans="7:7" ht="13">
      <c r="G693" s="226"/>
    </row>
    <row r="694" spans="7:7" ht="13">
      <c r="G694" s="226"/>
    </row>
    <row r="695" spans="7:7" ht="13">
      <c r="G695" s="226"/>
    </row>
    <row r="696" spans="7:7" ht="13">
      <c r="G696" s="226"/>
    </row>
    <row r="697" spans="7:7" ht="13">
      <c r="G697" s="226"/>
    </row>
    <row r="698" spans="7:7" ht="13">
      <c r="G698" s="226"/>
    </row>
    <row r="699" spans="7:7" ht="13">
      <c r="G699" s="226"/>
    </row>
    <row r="700" spans="7:7" ht="13">
      <c r="G700" s="226"/>
    </row>
    <row r="701" spans="7:7" ht="13">
      <c r="G701" s="226"/>
    </row>
    <row r="702" spans="7:7" ht="13">
      <c r="G702" s="226"/>
    </row>
    <row r="703" spans="7:7" ht="13">
      <c r="G703" s="226"/>
    </row>
    <row r="704" spans="7:7" ht="13">
      <c r="G704" s="226"/>
    </row>
    <row r="705" spans="7:7" ht="13">
      <c r="G705" s="226"/>
    </row>
    <row r="706" spans="7:7" ht="13">
      <c r="G706" s="226"/>
    </row>
    <row r="707" spans="7:7" ht="13">
      <c r="G707" s="226"/>
    </row>
    <row r="708" spans="7:7" ht="13">
      <c r="G708" s="226"/>
    </row>
    <row r="709" spans="7:7" ht="13">
      <c r="G709" s="226"/>
    </row>
    <row r="710" spans="7:7" ht="13">
      <c r="G710" s="226"/>
    </row>
    <row r="711" spans="7:7" ht="13">
      <c r="G711" s="226"/>
    </row>
    <row r="712" spans="7:7" ht="13">
      <c r="G712" s="226"/>
    </row>
    <row r="713" spans="7:7" ht="13">
      <c r="G713" s="226"/>
    </row>
    <row r="714" spans="7:7" ht="13">
      <c r="G714" s="226"/>
    </row>
    <row r="715" spans="7:7" ht="13">
      <c r="G715" s="226"/>
    </row>
    <row r="716" spans="7:7" ht="13">
      <c r="G716" s="226"/>
    </row>
    <row r="717" spans="7:7" ht="13">
      <c r="G717" s="226"/>
    </row>
    <row r="718" spans="7:7" ht="13">
      <c r="G718" s="226"/>
    </row>
    <row r="719" spans="7:7" ht="13">
      <c r="G719" s="226"/>
    </row>
    <row r="720" spans="7:7" ht="13">
      <c r="G720" s="226"/>
    </row>
    <row r="721" spans="7:7" ht="13">
      <c r="G721" s="226"/>
    </row>
    <row r="722" spans="7:7" ht="13">
      <c r="G722" s="226"/>
    </row>
    <row r="723" spans="7:7" ht="13">
      <c r="G723" s="226"/>
    </row>
    <row r="724" spans="7:7" ht="13">
      <c r="G724" s="226"/>
    </row>
    <row r="725" spans="7:7" ht="13">
      <c r="G725" s="226"/>
    </row>
    <row r="726" spans="7:7" ht="13">
      <c r="G726" s="226"/>
    </row>
    <row r="727" spans="7:7" ht="13">
      <c r="G727" s="226"/>
    </row>
    <row r="728" spans="7:7" ht="13">
      <c r="G728" s="226"/>
    </row>
    <row r="729" spans="7:7" ht="13">
      <c r="G729" s="226"/>
    </row>
    <row r="730" spans="7:7" ht="13">
      <c r="G730" s="226"/>
    </row>
    <row r="731" spans="7:7" ht="13">
      <c r="G731" s="226"/>
    </row>
    <row r="732" spans="7:7" ht="13">
      <c r="G732" s="226"/>
    </row>
    <row r="733" spans="7:7" ht="13">
      <c r="G733" s="226"/>
    </row>
    <row r="734" spans="7:7" ht="13">
      <c r="G734" s="226"/>
    </row>
    <row r="735" spans="7:7" ht="13">
      <c r="G735" s="226"/>
    </row>
    <row r="736" spans="7:7" ht="13">
      <c r="G736" s="226"/>
    </row>
    <row r="737" spans="7:7" ht="13">
      <c r="G737" s="226"/>
    </row>
    <row r="738" spans="7:7" ht="13">
      <c r="G738" s="226"/>
    </row>
    <row r="739" spans="7:7" ht="13">
      <c r="G739" s="226"/>
    </row>
    <row r="740" spans="7:7" ht="13">
      <c r="G740" s="226"/>
    </row>
    <row r="741" spans="7:7" ht="13">
      <c r="G741" s="226"/>
    </row>
    <row r="742" spans="7:7" ht="13">
      <c r="G742" s="226"/>
    </row>
    <row r="743" spans="7:7" ht="13">
      <c r="G743" s="226"/>
    </row>
    <row r="744" spans="7:7" ht="13">
      <c r="G744" s="226"/>
    </row>
    <row r="745" spans="7:7" ht="13">
      <c r="G745" s="226"/>
    </row>
    <row r="746" spans="7:7" ht="13">
      <c r="G746" s="226"/>
    </row>
    <row r="747" spans="7:7" ht="13">
      <c r="G747" s="226"/>
    </row>
    <row r="748" spans="7:7" ht="13">
      <c r="G748" s="226"/>
    </row>
    <row r="749" spans="7:7" ht="13">
      <c r="G749" s="226"/>
    </row>
    <row r="750" spans="7:7" ht="13">
      <c r="G750" s="226"/>
    </row>
    <row r="751" spans="7:7" ht="13">
      <c r="G751" s="226"/>
    </row>
    <row r="752" spans="7:7" ht="13">
      <c r="G752" s="226"/>
    </row>
    <row r="753" spans="7:7" ht="13">
      <c r="G753" s="226"/>
    </row>
    <row r="754" spans="7:7" ht="13">
      <c r="G754" s="226"/>
    </row>
    <row r="755" spans="7:7" ht="13">
      <c r="G755" s="226"/>
    </row>
    <row r="756" spans="7:7" ht="13">
      <c r="G756" s="226"/>
    </row>
    <row r="757" spans="7:7" ht="13">
      <c r="G757" s="226"/>
    </row>
    <row r="758" spans="7:7" ht="13">
      <c r="G758" s="226"/>
    </row>
    <row r="759" spans="7:7" ht="13">
      <c r="G759" s="226"/>
    </row>
    <row r="760" spans="7:7" ht="13">
      <c r="G760" s="226"/>
    </row>
    <row r="761" spans="7:7" ht="13">
      <c r="G761" s="226"/>
    </row>
    <row r="762" spans="7:7" ht="13">
      <c r="G762" s="226"/>
    </row>
    <row r="763" spans="7:7" ht="13">
      <c r="G763" s="226"/>
    </row>
    <row r="764" spans="7:7" ht="13">
      <c r="G764" s="226"/>
    </row>
    <row r="765" spans="7:7" ht="13">
      <c r="G765" s="226"/>
    </row>
    <row r="766" spans="7:7" ht="13">
      <c r="G766" s="226"/>
    </row>
    <row r="767" spans="7:7" ht="13">
      <c r="G767" s="226"/>
    </row>
    <row r="768" spans="7:7" ht="13">
      <c r="G768" s="226"/>
    </row>
    <row r="769" spans="7:7" ht="13">
      <c r="G769" s="226"/>
    </row>
    <row r="770" spans="7:7" ht="13">
      <c r="G770" s="226"/>
    </row>
    <row r="771" spans="7:7" ht="13">
      <c r="G771" s="226"/>
    </row>
    <row r="772" spans="7:7" ht="13">
      <c r="G772" s="226"/>
    </row>
    <row r="773" spans="7:7" ht="13">
      <c r="G773" s="226"/>
    </row>
    <row r="774" spans="7:7" ht="13">
      <c r="G774" s="226"/>
    </row>
    <row r="775" spans="7:7" ht="13">
      <c r="G775" s="226"/>
    </row>
    <row r="776" spans="7:7" ht="13">
      <c r="G776" s="226"/>
    </row>
    <row r="777" spans="7:7" ht="13">
      <c r="G777" s="226"/>
    </row>
    <row r="778" spans="7:7" ht="13">
      <c r="G778" s="226"/>
    </row>
    <row r="779" spans="7:7" ht="13">
      <c r="G779" s="226"/>
    </row>
    <row r="780" spans="7:7" ht="13">
      <c r="G780" s="226"/>
    </row>
    <row r="781" spans="7:7" ht="13">
      <c r="G781" s="226"/>
    </row>
    <row r="782" spans="7:7" ht="13">
      <c r="G782" s="226"/>
    </row>
    <row r="783" spans="7:7" ht="13">
      <c r="G783" s="226"/>
    </row>
    <row r="784" spans="7:7" ht="13">
      <c r="G784" s="226"/>
    </row>
    <row r="785" spans="7:7" ht="13">
      <c r="G785" s="226"/>
    </row>
    <row r="786" spans="7:7" ht="13">
      <c r="G786" s="226"/>
    </row>
    <row r="787" spans="7:7" ht="13">
      <c r="G787" s="226"/>
    </row>
    <row r="788" spans="7:7" ht="13">
      <c r="G788" s="226"/>
    </row>
    <row r="789" spans="7:7" ht="13">
      <c r="G789" s="226"/>
    </row>
    <row r="790" spans="7:7" ht="13">
      <c r="G790" s="226"/>
    </row>
    <row r="791" spans="7:7" ht="13">
      <c r="G791" s="226"/>
    </row>
    <row r="792" spans="7:7" ht="13">
      <c r="G792" s="226"/>
    </row>
    <row r="793" spans="7:7" ht="13">
      <c r="G793" s="226"/>
    </row>
    <row r="794" spans="7:7" ht="13">
      <c r="G794" s="226"/>
    </row>
    <row r="795" spans="7:7" ht="13">
      <c r="G795" s="226"/>
    </row>
    <row r="796" spans="7:7" ht="13">
      <c r="G796" s="226"/>
    </row>
    <row r="797" spans="7:7" ht="13">
      <c r="G797" s="226"/>
    </row>
    <row r="798" spans="7:7" ht="13">
      <c r="G798" s="226"/>
    </row>
    <row r="799" spans="7:7" ht="13">
      <c r="G799" s="226"/>
    </row>
    <row r="800" spans="7:7" ht="13">
      <c r="G800" s="226"/>
    </row>
    <row r="801" spans="7:7" ht="13">
      <c r="G801" s="226"/>
    </row>
    <row r="802" spans="7:7" ht="13">
      <c r="G802" s="226"/>
    </row>
    <row r="803" spans="7:7" ht="13">
      <c r="G803" s="226"/>
    </row>
    <row r="804" spans="7:7" ht="13">
      <c r="G804" s="226"/>
    </row>
    <row r="805" spans="7:7" ht="13">
      <c r="G805" s="226"/>
    </row>
    <row r="806" spans="7:7" ht="13">
      <c r="G806" s="226"/>
    </row>
    <row r="807" spans="7:7" ht="13">
      <c r="G807" s="226"/>
    </row>
    <row r="808" spans="7:7" ht="13">
      <c r="G808" s="226"/>
    </row>
    <row r="809" spans="7:7" ht="13">
      <c r="G809" s="226"/>
    </row>
    <row r="810" spans="7:7" ht="13">
      <c r="G810" s="226"/>
    </row>
    <row r="811" spans="7:7" ht="13">
      <c r="G811" s="226"/>
    </row>
    <row r="812" spans="7:7" ht="13">
      <c r="G812" s="226"/>
    </row>
    <row r="813" spans="7:7" ht="13">
      <c r="G813" s="226"/>
    </row>
    <row r="814" spans="7:7" ht="13">
      <c r="G814" s="226"/>
    </row>
    <row r="815" spans="7:7" ht="13">
      <c r="G815" s="226"/>
    </row>
    <row r="816" spans="7:7" ht="13">
      <c r="G816" s="226"/>
    </row>
    <row r="817" spans="7:7" ht="13">
      <c r="G817" s="226"/>
    </row>
    <row r="818" spans="7:7" ht="13">
      <c r="G818" s="226"/>
    </row>
    <row r="819" spans="7:7" ht="13">
      <c r="G819" s="226"/>
    </row>
    <row r="820" spans="7:7" ht="13">
      <c r="G820" s="226"/>
    </row>
    <row r="821" spans="7:7" ht="13">
      <c r="G821" s="226"/>
    </row>
    <row r="822" spans="7:7" ht="13">
      <c r="G822" s="226"/>
    </row>
    <row r="823" spans="7:7" ht="13">
      <c r="G823" s="226"/>
    </row>
    <row r="824" spans="7:7" ht="13">
      <c r="G824" s="226"/>
    </row>
    <row r="825" spans="7:7" ht="13">
      <c r="G825" s="226"/>
    </row>
    <row r="826" spans="7:7" ht="13">
      <c r="G826" s="226"/>
    </row>
    <row r="827" spans="7:7" ht="13">
      <c r="G827" s="226"/>
    </row>
    <row r="828" spans="7:7" ht="13">
      <c r="G828" s="226"/>
    </row>
    <row r="829" spans="7:7" ht="13">
      <c r="G829" s="226"/>
    </row>
    <row r="830" spans="7:7" ht="13">
      <c r="G830" s="226"/>
    </row>
    <row r="831" spans="7:7" ht="13">
      <c r="G831" s="226"/>
    </row>
    <row r="832" spans="7:7" ht="13">
      <c r="G832" s="226"/>
    </row>
    <row r="833" spans="7:7" ht="13">
      <c r="G833" s="226"/>
    </row>
    <row r="834" spans="7:7" ht="13">
      <c r="G834" s="226"/>
    </row>
    <row r="835" spans="7:7" ht="13">
      <c r="G835" s="226"/>
    </row>
    <row r="836" spans="7:7" ht="13">
      <c r="G836" s="226"/>
    </row>
    <row r="837" spans="7:7" ht="13">
      <c r="G837" s="226"/>
    </row>
    <row r="838" spans="7:7" ht="13">
      <c r="G838" s="226"/>
    </row>
    <row r="839" spans="7:7" ht="13">
      <c r="G839" s="226"/>
    </row>
    <row r="840" spans="7:7" ht="13">
      <c r="G840" s="226"/>
    </row>
    <row r="841" spans="7:7" ht="13">
      <c r="G841" s="226"/>
    </row>
    <row r="842" spans="7:7" ht="13">
      <c r="G842" s="226"/>
    </row>
    <row r="843" spans="7:7" ht="13">
      <c r="G843" s="226"/>
    </row>
    <row r="844" spans="7:7" ht="13">
      <c r="G844" s="226"/>
    </row>
    <row r="845" spans="7:7" ht="13">
      <c r="G845" s="226"/>
    </row>
    <row r="846" spans="7:7" ht="13">
      <c r="G846" s="226"/>
    </row>
    <row r="847" spans="7:7" ht="13">
      <c r="G847" s="226"/>
    </row>
    <row r="848" spans="7:7" ht="13">
      <c r="G848" s="226"/>
    </row>
    <row r="849" spans="7:7" ht="13">
      <c r="G849" s="226"/>
    </row>
    <row r="850" spans="7:7" ht="13">
      <c r="G850" s="226"/>
    </row>
    <row r="851" spans="7:7" ht="13">
      <c r="G851" s="226"/>
    </row>
    <row r="852" spans="7:7" ht="13">
      <c r="G852" s="226"/>
    </row>
    <row r="853" spans="7:7" ht="13">
      <c r="G853" s="226"/>
    </row>
    <row r="854" spans="7:7" ht="13">
      <c r="G854" s="226"/>
    </row>
    <row r="855" spans="7:7" ht="13">
      <c r="G855" s="226"/>
    </row>
    <row r="856" spans="7:7" ht="13">
      <c r="G856" s="226"/>
    </row>
    <row r="857" spans="7:7" ht="13">
      <c r="G857" s="226"/>
    </row>
    <row r="858" spans="7:7" ht="13">
      <c r="G858" s="226"/>
    </row>
    <row r="859" spans="7:7" ht="13">
      <c r="G859" s="226"/>
    </row>
    <row r="860" spans="7:7" ht="13">
      <c r="G860" s="226"/>
    </row>
    <row r="861" spans="7:7" ht="13">
      <c r="G861" s="226"/>
    </row>
    <row r="862" spans="7:7" ht="13">
      <c r="G862" s="226"/>
    </row>
    <row r="863" spans="7:7" ht="13">
      <c r="G863" s="226"/>
    </row>
    <row r="864" spans="7:7" ht="13">
      <c r="G864" s="226"/>
    </row>
    <row r="865" spans="7:7" ht="13">
      <c r="G865" s="226"/>
    </row>
    <row r="866" spans="7:7" ht="13">
      <c r="G866" s="226"/>
    </row>
    <row r="867" spans="7:7" ht="13">
      <c r="G867" s="226"/>
    </row>
    <row r="868" spans="7:7" ht="13">
      <c r="G868" s="226"/>
    </row>
    <row r="869" spans="7:7" ht="13">
      <c r="G869" s="226"/>
    </row>
    <row r="870" spans="7:7" ht="13">
      <c r="G870" s="226"/>
    </row>
    <row r="871" spans="7:7" ht="13">
      <c r="G871" s="226"/>
    </row>
    <row r="872" spans="7:7" ht="13">
      <c r="G872" s="226"/>
    </row>
    <row r="873" spans="7:7" ht="13">
      <c r="G873" s="226"/>
    </row>
    <row r="874" spans="7:7" ht="13">
      <c r="G874" s="226"/>
    </row>
    <row r="875" spans="7:7" ht="13">
      <c r="G875" s="226"/>
    </row>
    <row r="876" spans="7:7" ht="13">
      <c r="G876" s="226"/>
    </row>
    <row r="877" spans="7:7" ht="13">
      <c r="G877" s="226"/>
    </row>
    <row r="878" spans="7:7" ht="13">
      <c r="G878" s="226"/>
    </row>
    <row r="879" spans="7:7" ht="13">
      <c r="G879" s="226"/>
    </row>
    <row r="880" spans="7:7" ht="13">
      <c r="G880" s="226"/>
    </row>
    <row r="881" spans="7:7" ht="13">
      <c r="G881" s="226"/>
    </row>
    <row r="882" spans="7:7" ht="13">
      <c r="G882" s="226"/>
    </row>
    <row r="883" spans="7:7" ht="13">
      <c r="G883" s="226"/>
    </row>
    <row r="884" spans="7:7" ht="13">
      <c r="G884" s="226"/>
    </row>
    <row r="885" spans="7:7" ht="13">
      <c r="G885" s="226"/>
    </row>
    <row r="886" spans="7:7" ht="13">
      <c r="G886" s="226"/>
    </row>
    <row r="887" spans="7:7" ht="13">
      <c r="G887" s="226"/>
    </row>
    <row r="888" spans="7:7" ht="13">
      <c r="G888" s="226"/>
    </row>
    <row r="889" spans="7:7" ht="13">
      <c r="G889" s="226"/>
    </row>
    <row r="890" spans="7:7" ht="13">
      <c r="G890" s="226"/>
    </row>
    <row r="891" spans="7:7" ht="13">
      <c r="G891" s="226"/>
    </row>
    <row r="892" spans="7:7" ht="13">
      <c r="G892" s="226"/>
    </row>
    <row r="893" spans="7:7" ht="13">
      <c r="G893" s="226"/>
    </row>
    <row r="894" spans="7:7" ht="13">
      <c r="G894" s="226"/>
    </row>
    <row r="895" spans="7:7" ht="13">
      <c r="G895" s="226"/>
    </row>
    <row r="896" spans="7:7" ht="13">
      <c r="G896" s="226"/>
    </row>
    <row r="897" spans="7:7" ht="13">
      <c r="G897" s="226"/>
    </row>
    <row r="898" spans="7:7" ht="13">
      <c r="G898" s="226"/>
    </row>
    <row r="899" spans="7:7" ht="13">
      <c r="G899" s="226"/>
    </row>
    <row r="900" spans="7:7" ht="13">
      <c r="G900" s="226"/>
    </row>
    <row r="901" spans="7:7" ht="13">
      <c r="G901" s="226"/>
    </row>
    <row r="902" spans="7:7" ht="13">
      <c r="G902" s="226"/>
    </row>
    <row r="903" spans="7:7" ht="13">
      <c r="G903" s="226"/>
    </row>
    <row r="904" spans="7:7" ht="13">
      <c r="G904" s="226"/>
    </row>
    <row r="905" spans="7:7" ht="13">
      <c r="G905" s="226"/>
    </row>
    <row r="906" spans="7:7" ht="13">
      <c r="G906" s="226"/>
    </row>
    <row r="907" spans="7:7" ht="13">
      <c r="G907" s="226"/>
    </row>
    <row r="908" spans="7:7" ht="13">
      <c r="G908" s="226"/>
    </row>
    <row r="909" spans="7:7" ht="13">
      <c r="G909" s="226"/>
    </row>
    <row r="910" spans="7:7" ht="13">
      <c r="G910" s="226"/>
    </row>
    <row r="911" spans="7:7" ht="13">
      <c r="G911" s="226"/>
    </row>
    <row r="912" spans="7:7" ht="13">
      <c r="G912" s="226"/>
    </row>
    <row r="913" spans="7:7" ht="13">
      <c r="G913" s="226"/>
    </row>
    <row r="914" spans="7:7" ht="13">
      <c r="G914" s="226"/>
    </row>
    <row r="915" spans="7:7" ht="13">
      <c r="G915" s="226"/>
    </row>
    <row r="916" spans="7:7" ht="13">
      <c r="G916" s="226"/>
    </row>
    <row r="917" spans="7:7" ht="13">
      <c r="G917" s="226"/>
    </row>
    <row r="918" spans="7:7" ht="13">
      <c r="G918" s="226"/>
    </row>
    <row r="919" spans="7:7" ht="13">
      <c r="G919" s="226"/>
    </row>
    <row r="920" spans="7:7" ht="13">
      <c r="G920" s="226"/>
    </row>
    <row r="921" spans="7:7" ht="13">
      <c r="G921" s="226"/>
    </row>
    <row r="922" spans="7:7" ht="13">
      <c r="G922" s="226"/>
    </row>
    <row r="923" spans="7:7" ht="13">
      <c r="G923" s="226"/>
    </row>
    <row r="924" spans="7:7" ht="13">
      <c r="G924" s="226"/>
    </row>
    <row r="925" spans="7:7" ht="13">
      <c r="G925" s="226"/>
    </row>
    <row r="926" spans="7:7" ht="13">
      <c r="G926" s="226"/>
    </row>
    <row r="927" spans="7:7" ht="13">
      <c r="G927" s="226"/>
    </row>
    <row r="928" spans="7:7" ht="13">
      <c r="G928" s="226"/>
    </row>
    <row r="929" spans="7:7" ht="13">
      <c r="G929" s="226"/>
    </row>
    <row r="930" spans="7:7" ht="13">
      <c r="G930" s="226"/>
    </row>
    <row r="931" spans="7:7" ht="13">
      <c r="G931" s="226"/>
    </row>
    <row r="932" spans="7:7" ht="13">
      <c r="G932" s="226"/>
    </row>
    <row r="933" spans="7:7" ht="13">
      <c r="G933" s="226"/>
    </row>
    <row r="934" spans="7:7" ht="13">
      <c r="G934" s="226"/>
    </row>
    <row r="935" spans="7:7" ht="13">
      <c r="G935" s="226"/>
    </row>
    <row r="936" spans="7:7" ht="13">
      <c r="G936" s="226"/>
    </row>
    <row r="937" spans="7:7" ht="13">
      <c r="G937" s="226"/>
    </row>
    <row r="938" spans="7:7" ht="13">
      <c r="G938" s="226"/>
    </row>
    <row r="939" spans="7:7" ht="13">
      <c r="G939" s="226"/>
    </row>
    <row r="940" spans="7:7" ht="13">
      <c r="G940" s="226"/>
    </row>
    <row r="941" spans="7:7" ht="13">
      <c r="G941" s="226"/>
    </row>
    <row r="942" spans="7:7" ht="13">
      <c r="G942" s="226"/>
    </row>
    <row r="943" spans="7:7" ht="13">
      <c r="G943" s="226"/>
    </row>
    <row r="944" spans="7:7" ht="13">
      <c r="G944" s="226"/>
    </row>
    <row r="945" spans="7:7" ht="13">
      <c r="G945" s="226"/>
    </row>
    <row r="946" spans="7:7" ht="13">
      <c r="G946" s="226"/>
    </row>
    <row r="947" spans="7:7" ht="13">
      <c r="G947" s="226"/>
    </row>
    <row r="948" spans="7:7" ht="13">
      <c r="G948" s="226"/>
    </row>
    <row r="949" spans="7:7" ht="13">
      <c r="G949" s="226"/>
    </row>
    <row r="950" spans="7:7" ht="13">
      <c r="G950" s="226"/>
    </row>
    <row r="951" spans="7:7" ht="13">
      <c r="G951" s="226"/>
    </row>
    <row r="952" spans="7:7" ht="13">
      <c r="G952" s="226"/>
    </row>
    <row r="953" spans="7:7" ht="13">
      <c r="G953" s="226"/>
    </row>
    <row r="954" spans="7:7" ht="13">
      <c r="G954" s="226"/>
    </row>
    <row r="955" spans="7:7" ht="13">
      <c r="G955" s="226"/>
    </row>
    <row r="956" spans="7:7" ht="13">
      <c r="G956" s="226"/>
    </row>
    <row r="957" spans="7:7" ht="13">
      <c r="G957" s="226"/>
    </row>
    <row r="958" spans="7:7" ht="13">
      <c r="G958" s="226"/>
    </row>
    <row r="959" spans="7:7" ht="13">
      <c r="G959" s="226"/>
    </row>
    <row r="960" spans="7:7" ht="13">
      <c r="G960" s="226"/>
    </row>
    <row r="961" spans="7:7" ht="13">
      <c r="G961" s="226"/>
    </row>
    <row r="962" spans="7:7" ht="13">
      <c r="G962" s="226"/>
    </row>
    <row r="963" spans="7:7" ht="13">
      <c r="G963" s="226"/>
    </row>
    <row r="964" spans="7:7" ht="13">
      <c r="G964" s="226"/>
    </row>
    <row r="965" spans="7:7" ht="13">
      <c r="G965" s="226"/>
    </row>
    <row r="966" spans="7:7" ht="13">
      <c r="G966" s="226"/>
    </row>
    <row r="967" spans="7:7" ht="13">
      <c r="G967" s="226"/>
    </row>
    <row r="968" spans="7:7" ht="13">
      <c r="G968" s="226"/>
    </row>
    <row r="969" spans="7:7" ht="13">
      <c r="G969" s="226"/>
    </row>
    <row r="970" spans="7:7" ht="13">
      <c r="G970" s="226"/>
    </row>
  </sheetData>
  <autoFilter ref="L1:L970" xr:uid="{00000000-0009-0000-0000-000010000000}"/>
  <customSheetViews>
    <customSheetView guid="{690C070F-8107-459A-B949-BA7C433CC32D}" filter="1" showAutoFilter="1">
      <pageMargins left="0.7" right="0.7" top="0.75" bottom="0.75" header="0.3" footer="0.3"/>
      <autoFilter ref="A1:O2" xr:uid="{00000000-0000-0000-0000-000000000000}"/>
    </customSheetView>
  </customSheetViews>
  <conditionalFormatting sqref="B1 B3:B970">
    <cfRule type="cellIs" dxfId="7" priority="1" operator="between">
      <formula>50</formula>
      <formula>200</formula>
    </cfRule>
  </conditionalFormatting>
  <conditionalFormatting sqref="B1 B3:B970">
    <cfRule type="cellIs" dxfId="6" priority="2" operator="between">
      <formula>201</formula>
      <formula>400</formula>
    </cfRule>
  </conditionalFormatting>
  <conditionalFormatting sqref="B3:B965">
    <cfRule type="cellIs" dxfId="5" priority="3" operator="between">
      <formula>401</formula>
      <formula>650</formula>
    </cfRule>
  </conditionalFormatting>
  <conditionalFormatting sqref="B3:B965">
    <cfRule type="cellIs" dxfId="4" priority="4" operator="between">
      <formula>651</formula>
      <formula>900</formula>
    </cfRule>
  </conditionalFormatting>
  <conditionalFormatting sqref="B3:B965">
    <cfRule type="cellIs" dxfId="3" priority="5" operator="greaterThan">
      <formula>900</formula>
    </cfRule>
  </conditionalFormatting>
  <conditionalFormatting sqref="F1:F970">
    <cfRule type="colorScale" priority="6">
      <colorScale>
        <cfvo type="min"/>
        <cfvo type="formula" val="150"/>
        <color rgb="FFEAD1DC"/>
        <color rgb="FFA64D79"/>
      </colorScale>
    </cfRule>
  </conditionalFormatting>
  <conditionalFormatting sqref="H3:H8">
    <cfRule type="cellIs" dxfId="2" priority="7" operator="between">
      <formula>0.24</formula>
      <formula>0.45</formula>
    </cfRule>
  </conditionalFormatting>
  <conditionalFormatting sqref="H3:H8">
    <cfRule type="cellIs" dxfId="1" priority="8" operator="between">
      <formula>0.45</formula>
      <formula>0.99</formula>
    </cfRule>
  </conditionalFormatting>
  <conditionalFormatting sqref="H3:H8">
    <cfRule type="cellIs" dxfId="0" priority="9" operator="greaterThan">
      <formula>0.99</formula>
    </cfRule>
  </conditionalFormatting>
  <hyperlinks>
    <hyperlink ref="N1" r:id="rId1" xr:uid="{00000000-0004-0000-1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All</vt:lpstr>
      <vt:lpstr>no exif</vt:lpstr>
      <vt:lpstr>MF</vt:lpstr>
      <vt:lpstr>AF</vt:lpstr>
      <vt:lpstr>Macro</vt:lpstr>
      <vt:lpstr>fast</vt:lpstr>
      <vt:lpstr>affordable</vt:lpstr>
      <vt:lpstr>Sony</vt:lpstr>
      <vt:lpstr>Sheet13</vt:lpstr>
      <vt:lpstr>Voigtlander</vt:lpstr>
      <vt:lpstr>Zeiss</vt:lpstr>
      <vt:lpstr>Sigma</vt:lpstr>
      <vt:lpstr>Beta</vt:lpstr>
      <vt:lpstr>Comparometer</vt:lpstr>
      <vt:lpstr>Kitbuilder</vt:lpstr>
      <vt:lpstr>APS-C</vt:lpstr>
      <vt:lpstr>Olympus 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DBM</cp:lastModifiedBy>
  <dcterms:created xsi:type="dcterms:W3CDTF">2020-04-11T05:46:40Z</dcterms:created>
  <dcterms:modified xsi:type="dcterms:W3CDTF">2020-05-22T07:00:23Z</dcterms:modified>
</cp:coreProperties>
</file>